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3.xml" ContentType="application/vnd.ms-excel.threaded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threadedComments/threadedComment4.xml" ContentType="application/vnd.ms-excel.threadedcomments+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Carla/Downloads/"/>
    </mc:Choice>
  </mc:AlternateContent>
  <xr:revisionPtr revIDLastSave="0" documentId="13_ncr:1_{AB779AA6-26F3-5747-91A0-CE818BECB896}" xr6:coauthVersionLast="47" xr6:coauthVersionMax="47" xr10:uidLastSave="{00000000-0000-0000-0000-000000000000}"/>
  <bookViews>
    <workbookView xWindow="0" yWindow="500" windowWidth="28800" windowHeight="16480" firstSheet="3" activeTab="6" xr2:uid="{00000000-000D-0000-FFFF-FFFF00000000}"/>
  </bookViews>
  <sheets>
    <sheet name="Welcome " sheetId="83" r:id="rId1"/>
    <sheet name="Cashbook Navigation" sheetId="67" r:id="rId2"/>
    <sheet name="Kostensoorts" sheetId="71" r:id="rId3"/>
    <sheet name="Cashbook Cash" sheetId="91" r:id="rId4"/>
    <sheet name="Cashbook ING" sheetId="68" r:id="rId5"/>
    <sheet name="Cashbook ING Baseline Savings" sheetId="88" r:id="rId6"/>
    <sheet name="Cashbook Wix" sheetId="75" r:id="rId7"/>
    <sheet name="Cashbook ING Lustrum Savings" sheetId="89" r:id="rId8"/>
    <sheet name="Budget Navigation" sheetId="10" r:id="rId9"/>
    <sheet name="Overview" sheetId="49" r:id="rId10"/>
    <sheet name="Board" sheetId="50" r:id="rId11"/>
    <sheet name="Memberships 24_25" sheetId="81" r:id="rId12"/>
    <sheet name="Academic" sheetId="52" r:id="rId13"/>
    <sheet name="Art" sheetId="62" r:id="rId14"/>
    <sheet name="Awareness" sheetId="51" r:id="rId15"/>
    <sheet name="Buddy" sheetId="55" r:id="rId16"/>
    <sheet name="Party" sheetId="54" r:id="rId17"/>
    <sheet name="Sports" sheetId="63" r:id="rId18"/>
    <sheet name="FMW" sheetId="77" r:id="rId19"/>
    <sheet name="TYW" sheetId="59" r:id="rId20"/>
    <sheet name="Yearbook" sheetId="57" r:id="rId21"/>
    <sheet name="AIM Week" sheetId="80" r:id="rId22"/>
    <sheet name="Intreeweek" sheetId="79" state="hidden" r:id="rId23"/>
    <sheet name="Amsterdam Unlocked" sheetId="76" r:id="rId24"/>
    <sheet name="AIM Club" sheetId="85" r:id="rId25"/>
    <sheet name="AIM Sports Teams" sheetId="65" r:id="rId26"/>
    <sheet name="Merchandise" sheetId="82" r:id="rId27"/>
  </sheets>
  <definedNames>
    <definedName name="_xlnm._FilterDatabase" localSheetId="3" hidden="1">'Cashbook Cash'!$A$1:$G$437</definedName>
    <definedName name="_xlnm._FilterDatabase" localSheetId="4" hidden="1">'Cashbook ING'!$A$1:$O$434</definedName>
    <definedName name="_xlnm._FilterDatabase" localSheetId="5" hidden="1">'Cashbook ING Baseline Savings'!$A$1:$K$437</definedName>
    <definedName name="_xlnm._FilterDatabase" localSheetId="7" hidden="1">'Cashbook ING Lustrum Savings'!$A$1:$L$436</definedName>
    <definedName name="_xlnm._FilterDatabase" localSheetId="6" hidden="1">'Cashbook Wix'!$A$1:$P$1969</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88" l="1"/>
  <c r="C5" i="88" s="1"/>
  <c r="C6" i="88" s="1"/>
  <c r="C7" i="88" s="1"/>
  <c r="C8" i="88" s="1"/>
  <c r="C9" i="88" s="1"/>
  <c r="S34" i="49"/>
  <c r="Q55" i="49"/>
  <c r="S42" i="49"/>
  <c r="S41" i="49"/>
  <c r="S40" i="49"/>
  <c r="S39" i="49"/>
  <c r="S38" i="49"/>
  <c r="S37" i="49"/>
  <c r="S36" i="49"/>
  <c r="S35" i="49"/>
  <c r="M65" i="49"/>
  <c r="L60" i="49"/>
  <c r="C470" i="68"/>
  <c r="C471" i="68" s="1"/>
  <c r="I21" i="54"/>
  <c r="L21" i="54" s="1"/>
  <c r="M21" i="54" s="1"/>
  <c r="I20" i="54"/>
  <c r="I26" i="63"/>
  <c r="I21" i="63"/>
  <c r="G37" i="50"/>
  <c r="H37" i="50"/>
  <c r="M66" i="49"/>
  <c r="G51" i="49"/>
  <c r="F55" i="49"/>
  <c r="E53" i="49"/>
  <c r="D53" i="49"/>
  <c r="F51" i="49"/>
  <c r="G48" i="49"/>
  <c r="F48" i="49"/>
  <c r="E48" i="49"/>
  <c r="D48" i="49"/>
  <c r="C48" i="49"/>
  <c r="E43" i="49"/>
  <c r="E42" i="49"/>
  <c r="E41" i="49"/>
  <c r="D43" i="49"/>
  <c r="E40" i="49"/>
  <c r="E37" i="49"/>
  <c r="E32" i="49"/>
  <c r="E31" i="49"/>
  <c r="E30" i="49"/>
  <c r="E29" i="49"/>
  <c r="E28" i="49"/>
  <c r="E27" i="49"/>
  <c r="E22" i="49"/>
  <c r="E18" i="49"/>
  <c r="E17" i="49"/>
  <c r="E16" i="49"/>
  <c r="E15" i="49"/>
  <c r="E14" i="49"/>
  <c r="D18" i="49"/>
  <c r="D17" i="49"/>
  <c r="G5" i="49"/>
  <c r="G4" i="49"/>
  <c r="E9" i="49"/>
  <c r="D5" i="49"/>
  <c r="D4" i="49"/>
  <c r="C5" i="49"/>
  <c r="C4" i="49"/>
  <c r="K49" i="49"/>
  <c r="K8" i="49"/>
  <c r="K7" i="49"/>
  <c r="K6" i="49"/>
  <c r="J6" i="49"/>
  <c r="B468" i="68"/>
  <c r="B467" i="68"/>
  <c r="B466" i="68"/>
  <c r="M70" i="49"/>
  <c r="G59" i="49"/>
  <c r="L61" i="49" s="1"/>
  <c r="Q53" i="49"/>
  <c r="Q52" i="49"/>
  <c r="G4" i="50"/>
  <c r="I4" i="50"/>
  <c r="C44" i="50" l="1"/>
  <c r="C43" i="50"/>
  <c r="K3" i="59"/>
  <c r="K11" i="52"/>
  <c r="I11" i="52"/>
  <c r="H6" i="50"/>
  <c r="H4" i="50"/>
  <c r="J4" i="50" s="1"/>
  <c r="B469" i="68"/>
  <c r="K31" i="55"/>
  <c r="K41" i="49" s="1"/>
  <c r="K29" i="63"/>
  <c r="I22" i="63"/>
  <c r="K25" i="49"/>
  <c r="K24" i="49"/>
  <c r="K9" i="49"/>
  <c r="J12" i="54"/>
  <c r="I20" i="51"/>
  <c r="I13" i="51"/>
  <c r="I8" i="51"/>
  <c r="I38" i="52"/>
  <c r="I34" i="52"/>
  <c r="I30" i="52"/>
  <c r="K17" i="49" l="1"/>
  <c r="F45" i="50"/>
  <c r="B460" i="68"/>
  <c r="B461" i="68"/>
  <c r="B462" i="68"/>
  <c r="B463" i="68"/>
  <c r="B464" i="68"/>
  <c r="B465" i="68"/>
  <c r="G19" i="50"/>
  <c r="I7" i="80"/>
  <c r="I5" i="80"/>
  <c r="I4" i="80"/>
  <c r="H56" i="63"/>
  <c r="I41" i="63"/>
  <c r="I43" i="63"/>
  <c r="I42" i="63"/>
  <c r="I30" i="63"/>
  <c r="I31" i="63"/>
  <c r="I16" i="63"/>
  <c r="I43" i="54"/>
  <c r="I44" i="54"/>
  <c r="I42" i="54"/>
  <c r="K52" i="55"/>
  <c r="I52" i="55"/>
  <c r="I51" i="55"/>
  <c r="I26" i="55"/>
  <c r="I28" i="55"/>
  <c r="K37" i="55"/>
  <c r="J36" i="55"/>
  <c r="I34" i="55"/>
  <c r="I33" i="55"/>
  <c r="I25" i="51"/>
  <c r="I31" i="62"/>
  <c r="I23" i="62"/>
  <c r="J12" i="62"/>
  <c r="I9" i="62"/>
  <c r="I10" i="62"/>
  <c r="G41" i="50"/>
  <c r="G39" i="50"/>
  <c r="G38" i="50"/>
  <c r="B2746" i="75"/>
  <c r="I9" i="77"/>
  <c r="I3" i="77"/>
  <c r="B2492" i="75"/>
  <c r="B2493" i="75"/>
  <c r="B2494" i="75"/>
  <c r="B2495" i="75"/>
  <c r="B2496" i="75"/>
  <c r="B2497" i="75"/>
  <c r="B2498" i="75"/>
  <c r="B2499" i="75"/>
  <c r="B2500" i="75"/>
  <c r="B2501" i="75"/>
  <c r="B2502" i="75"/>
  <c r="B2503" i="75"/>
  <c r="B2504" i="75"/>
  <c r="B2505" i="75"/>
  <c r="B2506" i="75"/>
  <c r="B2507" i="75"/>
  <c r="B2508" i="75"/>
  <c r="B2509" i="75"/>
  <c r="B2510" i="75"/>
  <c r="B2511" i="75"/>
  <c r="B2512" i="75"/>
  <c r="B2513" i="75"/>
  <c r="B2514" i="75"/>
  <c r="B2515" i="75"/>
  <c r="B2516" i="75"/>
  <c r="B2517" i="75"/>
  <c r="B2518" i="75"/>
  <c r="B2519" i="75"/>
  <c r="B2520" i="75"/>
  <c r="B2521" i="75"/>
  <c r="B2522" i="75"/>
  <c r="B2523" i="75"/>
  <c r="B2524" i="75"/>
  <c r="B2525" i="75"/>
  <c r="B2526" i="75"/>
  <c r="B2527" i="75"/>
  <c r="B2528" i="75"/>
  <c r="B2529" i="75"/>
  <c r="B2530" i="75"/>
  <c r="B2531" i="75"/>
  <c r="B2532" i="75"/>
  <c r="B2533" i="75"/>
  <c r="B2534" i="75"/>
  <c r="B2535" i="75"/>
  <c r="B2536" i="75"/>
  <c r="B2537" i="75"/>
  <c r="B2538" i="75"/>
  <c r="B2539" i="75"/>
  <c r="B2540" i="75"/>
  <c r="B2541" i="75"/>
  <c r="B2542" i="75"/>
  <c r="B2543" i="75"/>
  <c r="B2544" i="75"/>
  <c r="B2545" i="75"/>
  <c r="B2546" i="75"/>
  <c r="B2547" i="75"/>
  <c r="B2548" i="75"/>
  <c r="B2549" i="75"/>
  <c r="B2550" i="75"/>
  <c r="B2551" i="75"/>
  <c r="B2552" i="75"/>
  <c r="B2553" i="75"/>
  <c r="B2554" i="75"/>
  <c r="B2555" i="75"/>
  <c r="B2556" i="75"/>
  <c r="B2557" i="75"/>
  <c r="B2558" i="75"/>
  <c r="B2559" i="75"/>
  <c r="B2560" i="75"/>
  <c r="B2561" i="75"/>
  <c r="B2562" i="75"/>
  <c r="B2563" i="75"/>
  <c r="B2564" i="75"/>
  <c r="B2565" i="75"/>
  <c r="B2566" i="75"/>
  <c r="B2567" i="75"/>
  <c r="B2568" i="75"/>
  <c r="B2569" i="75"/>
  <c r="B2570" i="75"/>
  <c r="B2571" i="75"/>
  <c r="B2572" i="75"/>
  <c r="B2573" i="75"/>
  <c r="B2574" i="75"/>
  <c r="B2575" i="75"/>
  <c r="B2576" i="75"/>
  <c r="B2577" i="75"/>
  <c r="B2578" i="75"/>
  <c r="B2579" i="75"/>
  <c r="B2580" i="75"/>
  <c r="B2581" i="75"/>
  <c r="B2582" i="75"/>
  <c r="B2583" i="75"/>
  <c r="B2584" i="75"/>
  <c r="B2585" i="75"/>
  <c r="B2586" i="75"/>
  <c r="B2587" i="75"/>
  <c r="B2588" i="75"/>
  <c r="B2589" i="75"/>
  <c r="B2590" i="75"/>
  <c r="B2591" i="75"/>
  <c r="B2592" i="75"/>
  <c r="B2593" i="75"/>
  <c r="B2594" i="75"/>
  <c r="B2595" i="75"/>
  <c r="B2596" i="75"/>
  <c r="B2597" i="75"/>
  <c r="B2598" i="75"/>
  <c r="B2599" i="75"/>
  <c r="B2600" i="75"/>
  <c r="B2601" i="75"/>
  <c r="B2602" i="75"/>
  <c r="B2603" i="75"/>
  <c r="B2604" i="75"/>
  <c r="B2605" i="75"/>
  <c r="B2606" i="75"/>
  <c r="B2607" i="75"/>
  <c r="B2608" i="75"/>
  <c r="B2609" i="75"/>
  <c r="B2610" i="75"/>
  <c r="B2611" i="75"/>
  <c r="B2612" i="75"/>
  <c r="B2613" i="75"/>
  <c r="B2614" i="75"/>
  <c r="B2615" i="75"/>
  <c r="B2616" i="75"/>
  <c r="B2617" i="75"/>
  <c r="B2618" i="75"/>
  <c r="B2619" i="75"/>
  <c r="B2620" i="75"/>
  <c r="B2621" i="75"/>
  <c r="B2622" i="75"/>
  <c r="B2623" i="75"/>
  <c r="B2624" i="75"/>
  <c r="B2625" i="75"/>
  <c r="B2626" i="75"/>
  <c r="B2627" i="75"/>
  <c r="B2628" i="75"/>
  <c r="B2629" i="75"/>
  <c r="B2630" i="75"/>
  <c r="B2631" i="75"/>
  <c r="B2632" i="75"/>
  <c r="B2633" i="75"/>
  <c r="B2634" i="75"/>
  <c r="B2635" i="75"/>
  <c r="B2636" i="75"/>
  <c r="B2637" i="75"/>
  <c r="B2638" i="75"/>
  <c r="B2639" i="75"/>
  <c r="B2640" i="75"/>
  <c r="B2641" i="75"/>
  <c r="B2642" i="75"/>
  <c r="B2643" i="75"/>
  <c r="B2644" i="75"/>
  <c r="B2645" i="75"/>
  <c r="B2646" i="75"/>
  <c r="B2647" i="75"/>
  <c r="B2648" i="75"/>
  <c r="B2649" i="75"/>
  <c r="B2650" i="75"/>
  <c r="B2651" i="75"/>
  <c r="B2652" i="75"/>
  <c r="B2653" i="75"/>
  <c r="B2654" i="75"/>
  <c r="B2655" i="75"/>
  <c r="B2656" i="75"/>
  <c r="B2657" i="75"/>
  <c r="B2658" i="75"/>
  <c r="B2659" i="75"/>
  <c r="B2660" i="75"/>
  <c r="B2661" i="75"/>
  <c r="B2662" i="75"/>
  <c r="B2663" i="75"/>
  <c r="B2664" i="75"/>
  <c r="B2665" i="75"/>
  <c r="B2666" i="75"/>
  <c r="B2667" i="75"/>
  <c r="B2668" i="75"/>
  <c r="B2669" i="75"/>
  <c r="B2670" i="75"/>
  <c r="B2671" i="75"/>
  <c r="B2672" i="75"/>
  <c r="B2673" i="75"/>
  <c r="B2674" i="75"/>
  <c r="B2675" i="75"/>
  <c r="B2676" i="75"/>
  <c r="B2677" i="75"/>
  <c r="B2678" i="75"/>
  <c r="B2679" i="75"/>
  <c r="B2680" i="75"/>
  <c r="B2681" i="75"/>
  <c r="B2682" i="75"/>
  <c r="B2683" i="75"/>
  <c r="B2684" i="75"/>
  <c r="B2685" i="75"/>
  <c r="B2686" i="75"/>
  <c r="B2687" i="75"/>
  <c r="B2688" i="75"/>
  <c r="B2689" i="75"/>
  <c r="B2690" i="75"/>
  <c r="B2691" i="75"/>
  <c r="B2692" i="75"/>
  <c r="B2693" i="75"/>
  <c r="B2694" i="75"/>
  <c r="B2695" i="75"/>
  <c r="B2696" i="75"/>
  <c r="B2697" i="75"/>
  <c r="B2698" i="75"/>
  <c r="B2699" i="75"/>
  <c r="B2700" i="75"/>
  <c r="B2701" i="75"/>
  <c r="B2702" i="75"/>
  <c r="B2703" i="75"/>
  <c r="B2704" i="75"/>
  <c r="B2705" i="75"/>
  <c r="B2706" i="75"/>
  <c r="B2707" i="75"/>
  <c r="B2708" i="75"/>
  <c r="B2709" i="75"/>
  <c r="B2710" i="75"/>
  <c r="B2711" i="75"/>
  <c r="B2712" i="75"/>
  <c r="B2713" i="75"/>
  <c r="B2714" i="75"/>
  <c r="B2715" i="75"/>
  <c r="B2716" i="75"/>
  <c r="B2717" i="75"/>
  <c r="B2718" i="75"/>
  <c r="B2719" i="75"/>
  <c r="B2720" i="75"/>
  <c r="B2721" i="75"/>
  <c r="B2722" i="75"/>
  <c r="B2723" i="75"/>
  <c r="B2724" i="75"/>
  <c r="B2725" i="75"/>
  <c r="B2726" i="75"/>
  <c r="B2727" i="75"/>
  <c r="B2728" i="75"/>
  <c r="B2729" i="75"/>
  <c r="B2730" i="75"/>
  <c r="B2731" i="75"/>
  <c r="B2732" i="75"/>
  <c r="B2733" i="75"/>
  <c r="B2734" i="75"/>
  <c r="B2735" i="75"/>
  <c r="B2736" i="75"/>
  <c r="B2737" i="75"/>
  <c r="B2738" i="75"/>
  <c r="B2739" i="75"/>
  <c r="B2740" i="75"/>
  <c r="B2741" i="75"/>
  <c r="B2742" i="75"/>
  <c r="B2743" i="75"/>
  <c r="B2744" i="75"/>
  <c r="B2745" i="75"/>
  <c r="B2747" i="75"/>
  <c r="B2748" i="75"/>
  <c r="B2749" i="75"/>
  <c r="B2750" i="75"/>
  <c r="B2751" i="75"/>
  <c r="B2752" i="75"/>
  <c r="B2753" i="75"/>
  <c r="B2754" i="75"/>
  <c r="B2755" i="75"/>
  <c r="B2756" i="75"/>
  <c r="B2757" i="75"/>
  <c r="B2758" i="75"/>
  <c r="B2759" i="75"/>
  <c r="B2760" i="75"/>
  <c r="B2761" i="75"/>
  <c r="B2762" i="75"/>
  <c r="B2763" i="75"/>
  <c r="B2764" i="75"/>
  <c r="B2765" i="75"/>
  <c r="B2766" i="75"/>
  <c r="B2767" i="75"/>
  <c r="B2768" i="75"/>
  <c r="B2769" i="75"/>
  <c r="B2770" i="75"/>
  <c r="B2771" i="75"/>
  <c r="B2772" i="75"/>
  <c r="B2773" i="75"/>
  <c r="B2774" i="75"/>
  <c r="B2775" i="75"/>
  <c r="B2776" i="75"/>
  <c r="B2777" i="75"/>
  <c r="B2778" i="75"/>
  <c r="B2779" i="75"/>
  <c r="B2780" i="75"/>
  <c r="B2781" i="75"/>
  <c r="B2782" i="75"/>
  <c r="B2783" i="75"/>
  <c r="B2784" i="75"/>
  <c r="B2785" i="75"/>
  <c r="B2786" i="75"/>
  <c r="B2787" i="75"/>
  <c r="B2788" i="75"/>
  <c r="B2789" i="75"/>
  <c r="B2790" i="75"/>
  <c r="B2791" i="75"/>
  <c r="B2792" i="75"/>
  <c r="B2793" i="75"/>
  <c r="B2794" i="75"/>
  <c r="B2795" i="75"/>
  <c r="B2796" i="75"/>
  <c r="B2797" i="75"/>
  <c r="B2798" i="75"/>
  <c r="B2799" i="75"/>
  <c r="B2800" i="75"/>
  <c r="B2801" i="75"/>
  <c r="B2802" i="75"/>
  <c r="B2803" i="75"/>
  <c r="B2804" i="75"/>
  <c r="B2805" i="75"/>
  <c r="B2806" i="75"/>
  <c r="B2807" i="75"/>
  <c r="B2808" i="75"/>
  <c r="B2809" i="75"/>
  <c r="B2810" i="75"/>
  <c r="B2811" i="75"/>
  <c r="B2812" i="75"/>
  <c r="B2813" i="75"/>
  <c r="B2814" i="75"/>
  <c r="B2815" i="75"/>
  <c r="B2816" i="75"/>
  <c r="B2817" i="75"/>
  <c r="B2818" i="75"/>
  <c r="B2819" i="75"/>
  <c r="B2820" i="75"/>
  <c r="B2821" i="75"/>
  <c r="B2822" i="75"/>
  <c r="B2823" i="75"/>
  <c r="B2824" i="75"/>
  <c r="B2825" i="75"/>
  <c r="B2826" i="75"/>
  <c r="B2827" i="75"/>
  <c r="B2828" i="75"/>
  <c r="B2829" i="75"/>
  <c r="B2830" i="75"/>
  <c r="B2831" i="75"/>
  <c r="B2832" i="75"/>
  <c r="B2833" i="75"/>
  <c r="B2834" i="75"/>
  <c r="B2835" i="75"/>
  <c r="B2836" i="75"/>
  <c r="B2837" i="75"/>
  <c r="B2838" i="75"/>
  <c r="B2839" i="75"/>
  <c r="B2840" i="75"/>
  <c r="B2841" i="75"/>
  <c r="B2842" i="75"/>
  <c r="B2843" i="75"/>
  <c r="B2844" i="75"/>
  <c r="B2845" i="75"/>
  <c r="B2846" i="75"/>
  <c r="B2847" i="75"/>
  <c r="B2848" i="75"/>
  <c r="B2849" i="75"/>
  <c r="B2850" i="75"/>
  <c r="B2851" i="75"/>
  <c r="B2852" i="75"/>
  <c r="B2853" i="75"/>
  <c r="B2854" i="75"/>
  <c r="B2855" i="75"/>
  <c r="B2856" i="75"/>
  <c r="B2857" i="75"/>
  <c r="B2858" i="75"/>
  <c r="B2859" i="75"/>
  <c r="B2860" i="75"/>
  <c r="B2861" i="75"/>
  <c r="B2862" i="75"/>
  <c r="B2863" i="75"/>
  <c r="B2864" i="75"/>
  <c r="B2865" i="75"/>
  <c r="B2866" i="75"/>
  <c r="B2867" i="75"/>
  <c r="B2868" i="75"/>
  <c r="B2869" i="75"/>
  <c r="B2870" i="75"/>
  <c r="B2871" i="75"/>
  <c r="B2872" i="75"/>
  <c r="B2873" i="75"/>
  <c r="B2874" i="75"/>
  <c r="B2875" i="75"/>
  <c r="B2876" i="75"/>
  <c r="B2877" i="75"/>
  <c r="B2878" i="75"/>
  <c r="B2879" i="75"/>
  <c r="B2880" i="75"/>
  <c r="B2881" i="75"/>
  <c r="B2882" i="75"/>
  <c r="B2883" i="75"/>
  <c r="B2884" i="75"/>
  <c r="B2885" i="75"/>
  <c r="B2886" i="75"/>
  <c r="B2887" i="75"/>
  <c r="B2888" i="75"/>
  <c r="B2889" i="75"/>
  <c r="B2890" i="75"/>
  <c r="B2891" i="75"/>
  <c r="B2892" i="75"/>
  <c r="B2893" i="75"/>
  <c r="B2894" i="75"/>
  <c r="B2895" i="75"/>
  <c r="B2896" i="75"/>
  <c r="B2897" i="75"/>
  <c r="B2898" i="75"/>
  <c r="B2899" i="75"/>
  <c r="B2900" i="75"/>
  <c r="B2901" i="75"/>
  <c r="B2902" i="75"/>
  <c r="B2903" i="75"/>
  <c r="B2904" i="75"/>
  <c r="B2905" i="75"/>
  <c r="B2906" i="75"/>
  <c r="B2907" i="75"/>
  <c r="B2908" i="75"/>
  <c r="B2909" i="75"/>
  <c r="B2910" i="75"/>
  <c r="B2911" i="75"/>
  <c r="B2912" i="75"/>
  <c r="B2913" i="75"/>
  <c r="B2914" i="75"/>
  <c r="B2915" i="75"/>
  <c r="B2916" i="75"/>
  <c r="B2917" i="75"/>
  <c r="B2918" i="75"/>
  <c r="B2919" i="75"/>
  <c r="B2920" i="75"/>
  <c r="B2921" i="75"/>
  <c r="B2922" i="75"/>
  <c r="B2923" i="75"/>
  <c r="B2924" i="75"/>
  <c r="B2925" i="75"/>
  <c r="B2926" i="75"/>
  <c r="B2927" i="75"/>
  <c r="B2928" i="75"/>
  <c r="B2929" i="75"/>
  <c r="B2930" i="75"/>
  <c r="B2931" i="75"/>
  <c r="B2932" i="75"/>
  <c r="B2933" i="75"/>
  <c r="B2934" i="75"/>
  <c r="B2935" i="75"/>
  <c r="B2936" i="75"/>
  <c r="B2937" i="75"/>
  <c r="B2938" i="75"/>
  <c r="B2939" i="75"/>
  <c r="B2940" i="75"/>
  <c r="B2941" i="75"/>
  <c r="B2942" i="75"/>
  <c r="B2943" i="75"/>
  <c r="B2944" i="75"/>
  <c r="B2945" i="75"/>
  <c r="B2946" i="75"/>
  <c r="B2947" i="75"/>
  <c r="B2948" i="75"/>
  <c r="B2949" i="75"/>
  <c r="B2950" i="75"/>
  <c r="B2951" i="75"/>
  <c r="B2952" i="75"/>
  <c r="B2953" i="75"/>
  <c r="B2954" i="75"/>
  <c r="B2955" i="75"/>
  <c r="B2956" i="75"/>
  <c r="B2957" i="75"/>
  <c r="B2958" i="75"/>
  <c r="B2959" i="75"/>
  <c r="B2960" i="75"/>
  <c r="B2961" i="75"/>
  <c r="B2962" i="75"/>
  <c r="B2963" i="75"/>
  <c r="B2964" i="75"/>
  <c r="B2965" i="75"/>
  <c r="B2966" i="75"/>
  <c r="B2967" i="75"/>
  <c r="B2968" i="75"/>
  <c r="B2969" i="75"/>
  <c r="B2970" i="75"/>
  <c r="B2971" i="75"/>
  <c r="B2972" i="75"/>
  <c r="B2973" i="75"/>
  <c r="B2974" i="75"/>
  <c r="B2975" i="75"/>
  <c r="B2976" i="75"/>
  <c r="B2977" i="75"/>
  <c r="B2978" i="75"/>
  <c r="B2979" i="75"/>
  <c r="B2980" i="75"/>
  <c r="B2981" i="75"/>
  <c r="B2982" i="75"/>
  <c r="B2983" i="75"/>
  <c r="B2984" i="75"/>
  <c r="B2985" i="75"/>
  <c r="B2986" i="75"/>
  <c r="B2987" i="75"/>
  <c r="B2988" i="75"/>
  <c r="B2989" i="75"/>
  <c r="B2990" i="75"/>
  <c r="B2991" i="75"/>
  <c r="B2440" i="75"/>
  <c r="B2441" i="75"/>
  <c r="B2442" i="75"/>
  <c r="B2443" i="75"/>
  <c r="B2444" i="75"/>
  <c r="B2445" i="75"/>
  <c r="B2446" i="75"/>
  <c r="B2447" i="75"/>
  <c r="B2448" i="75"/>
  <c r="B2449" i="75"/>
  <c r="B2450" i="75"/>
  <c r="B2451" i="75"/>
  <c r="B2452" i="75"/>
  <c r="B2453" i="75"/>
  <c r="B2454" i="75"/>
  <c r="B2455" i="75"/>
  <c r="B2456" i="75"/>
  <c r="B2457" i="75"/>
  <c r="B2458" i="75"/>
  <c r="B2459" i="75"/>
  <c r="B2460" i="75"/>
  <c r="B2461" i="75"/>
  <c r="B2462" i="75"/>
  <c r="B2463" i="75"/>
  <c r="B2464" i="75"/>
  <c r="B2465" i="75"/>
  <c r="B2466" i="75"/>
  <c r="B2467" i="75"/>
  <c r="B2468" i="75"/>
  <c r="B2469" i="75"/>
  <c r="B2470" i="75"/>
  <c r="B2471" i="75"/>
  <c r="B2472" i="75"/>
  <c r="B2473" i="75"/>
  <c r="B2474" i="75"/>
  <c r="B2475" i="75"/>
  <c r="B2476" i="75"/>
  <c r="B2477" i="75"/>
  <c r="B2478" i="75"/>
  <c r="B2479" i="75"/>
  <c r="B2480" i="75"/>
  <c r="B2481" i="75"/>
  <c r="B2482" i="75"/>
  <c r="B2483" i="75"/>
  <c r="B2484" i="75"/>
  <c r="B2485" i="75"/>
  <c r="B2486" i="75"/>
  <c r="B2487" i="75"/>
  <c r="B2488" i="75"/>
  <c r="H46" i="50" s="1"/>
  <c r="B2489" i="75"/>
  <c r="B2490" i="75"/>
  <c r="B2491" i="75"/>
  <c r="B1996" i="75"/>
  <c r="B1997" i="75"/>
  <c r="B1998" i="75"/>
  <c r="B1999" i="75"/>
  <c r="B2000" i="75"/>
  <c r="B2001" i="75"/>
  <c r="B2002" i="75"/>
  <c r="B2003" i="75"/>
  <c r="B2004" i="75"/>
  <c r="B2005" i="75"/>
  <c r="B2006" i="75"/>
  <c r="B2007" i="75"/>
  <c r="B2008" i="75"/>
  <c r="B2009" i="75"/>
  <c r="B2010" i="75"/>
  <c r="B2011" i="75"/>
  <c r="B2012" i="75"/>
  <c r="B2013" i="75"/>
  <c r="B2014" i="75"/>
  <c r="B2015" i="75"/>
  <c r="B2016" i="75"/>
  <c r="B2017" i="75"/>
  <c r="B2018" i="75"/>
  <c r="B2019" i="75"/>
  <c r="B2020" i="75"/>
  <c r="B2021" i="75"/>
  <c r="B2022" i="75"/>
  <c r="B2023" i="75"/>
  <c r="B2024" i="75"/>
  <c r="B2025" i="75"/>
  <c r="B2026" i="75"/>
  <c r="B2027" i="75"/>
  <c r="B2028" i="75"/>
  <c r="B2029" i="75"/>
  <c r="B2030" i="75"/>
  <c r="B2031" i="75"/>
  <c r="B2032" i="75"/>
  <c r="B2033" i="75"/>
  <c r="B2034" i="75"/>
  <c r="B2035" i="75"/>
  <c r="B2036" i="75"/>
  <c r="B2037" i="75"/>
  <c r="B2038" i="75"/>
  <c r="B2039" i="75"/>
  <c r="B2040" i="75"/>
  <c r="B2041" i="75"/>
  <c r="B2042" i="75"/>
  <c r="B2043" i="75"/>
  <c r="B2044" i="75"/>
  <c r="B2045" i="75"/>
  <c r="B2046" i="75"/>
  <c r="B2047" i="75"/>
  <c r="B2048" i="75"/>
  <c r="B2049" i="75"/>
  <c r="B2050" i="75"/>
  <c r="B2051" i="75"/>
  <c r="B2052" i="75"/>
  <c r="B2053" i="75"/>
  <c r="B2054" i="75"/>
  <c r="B2055" i="75"/>
  <c r="B2056" i="75"/>
  <c r="B2057" i="75"/>
  <c r="B2058" i="75"/>
  <c r="B2059" i="75"/>
  <c r="B2060" i="75"/>
  <c r="B2061" i="75"/>
  <c r="B2062" i="75"/>
  <c r="B2063" i="75"/>
  <c r="B2064" i="75"/>
  <c r="B2065" i="75"/>
  <c r="B2066" i="75"/>
  <c r="B2067" i="75"/>
  <c r="B2068" i="75"/>
  <c r="B2069" i="75"/>
  <c r="B2070" i="75"/>
  <c r="B2071" i="75"/>
  <c r="B2072" i="75"/>
  <c r="B2073" i="75"/>
  <c r="B2074" i="75"/>
  <c r="B2075" i="75"/>
  <c r="B2076" i="75"/>
  <c r="B2077" i="75"/>
  <c r="B2078" i="75"/>
  <c r="B2079" i="75"/>
  <c r="B2080" i="75"/>
  <c r="B2081" i="75"/>
  <c r="B2082" i="75"/>
  <c r="B2083" i="75"/>
  <c r="B2084" i="75"/>
  <c r="B2085" i="75"/>
  <c r="B2086" i="75"/>
  <c r="B2087" i="75"/>
  <c r="B2088" i="75"/>
  <c r="B2089" i="75"/>
  <c r="B2090" i="75"/>
  <c r="B2091" i="75"/>
  <c r="B2092" i="75"/>
  <c r="B2093" i="75"/>
  <c r="B2094" i="75"/>
  <c r="B2095" i="75"/>
  <c r="B2096" i="75"/>
  <c r="B2097" i="75"/>
  <c r="B2098" i="75"/>
  <c r="B2099" i="75"/>
  <c r="B2100" i="75"/>
  <c r="B2101" i="75"/>
  <c r="B2102" i="75"/>
  <c r="B2103" i="75"/>
  <c r="B2104" i="75"/>
  <c r="B2105" i="75"/>
  <c r="B2106" i="75"/>
  <c r="B2107" i="75"/>
  <c r="B2108" i="75"/>
  <c r="B2109" i="75"/>
  <c r="B2110" i="75"/>
  <c r="B2111" i="75"/>
  <c r="B2112" i="75"/>
  <c r="B2113" i="75"/>
  <c r="B2114" i="75"/>
  <c r="B2115" i="75"/>
  <c r="B2116" i="75"/>
  <c r="B2117" i="75"/>
  <c r="B2118" i="75"/>
  <c r="B2119" i="75"/>
  <c r="B2120" i="75"/>
  <c r="B2121" i="75"/>
  <c r="B2122" i="75"/>
  <c r="B2123" i="75"/>
  <c r="B2124" i="75"/>
  <c r="B2125" i="75"/>
  <c r="B2126" i="75"/>
  <c r="B2127" i="75"/>
  <c r="B2128" i="75"/>
  <c r="B2129" i="75"/>
  <c r="B2130" i="75"/>
  <c r="B2131" i="75"/>
  <c r="B2132" i="75"/>
  <c r="B2133" i="75"/>
  <c r="B2134" i="75"/>
  <c r="B2135" i="75"/>
  <c r="B2136" i="75"/>
  <c r="B2137" i="75"/>
  <c r="B2138" i="75"/>
  <c r="B2139" i="75"/>
  <c r="B2140" i="75"/>
  <c r="B2141" i="75"/>
  <c r="B2142" i="75"/>
  <c r="B2143" i="75"/>
  <c r="B2144" i="75"/>
  <c r="B2145" i="75"/>
  <c r="B2146" i="75"/>
  <c r="B2147" i="75"/>
  <c r="B2148" i="75"/>
  <c r="B2149" i="75"/>
  <c r="B2150" i="75"/>
  <c r="B2151" i="75"/>
  <c r="B2152" i="75"/>
  <c r="B2153" i="75"/>
  <c r="B2154" i="75"/>
  <c r="B2155" i="75"/>
  <c r="B2156" i="75"/>
  <c r="B2157" i="75"/>
  <c r="B2158" i="75"/>
  <c r="B2159" i="75"/>
  <c r="B2160" i="75"/>
  <c r="B2161" i="75"/>
  <c r="B2162" i="75"/>
  <c r="B2163" i="75"/>
  <c r="B2164" i="75"/>
  <c r="B2165" i="75"/>
  <c r="B2166" i="75"/>
  <c r="B2167" i="75"/>
  <c r="B2168" i="75"/>
  <c r="B2169" i="75"/>
  <c r="B2170" i="75"/>
  <c r="B2171" i="75"/>
  <c r="B2172" i="75"/>
  <c r="B2173" i="75"/>
  <c r="B2174" i="75"/>
  <c r="B2175" i="75"/>
  <c r="B2176" i="75"/>
  <c r="B2177" i="75"/>
  <c r="B2178" i="75"/>
  <c r="B2179" i="75"/>
  <c r="B2180" i="75"/>
  <c r="B2181" i="75"/>
  <c r="B2182" i="75"/>
  <c r="B2183" i="75"/>
  <c r="B2184" i="75"/>
  <c r="B2185" i="75"/>
  <c r="B2186" i="75"/>
  <c r="B2187" i="75"/>
  <c r="B2188" i="75"/>
  <c r="B2189" i="75"/>
  <c r="B2190" i="75"/>
  <c r="B2191" i="75"/>
  <c r="B2192" i="75"/>
  <c r="B2193" i="75"/>
  <c r="B2194" i="75"/>
  <c r="B2195" i="75"/>
  <c r="B2196" i="75"/>
  <c r="B2197" i="75"/>
  <c r="B2198" i="75"/>
  <c r="B2199" i="75"/>
  <c r="B2200" i="75"/>
  <c r="B2201" i="75"/>
  <c r="B2202" i="75"/>
  <c r="B2203" i="75"/>
  <c r="B2204" i="75"/>
  <c r="B2205" i="75"/>
  <c r="B2206" i="75"/>
  <c r="B2207" i="75"/>
  <c r="B2208" i="75"/>
  <c r="B2209" i="75"/>
  <c r="B2210" i="75"/>
  <c r="B2211" i="75"/>
  <c r="B2212" i="75"/>
  <c r="B2213" i="75"/>
  <c r="B2214" i="75"/>
  <c r="B2215" i="75"/>
  <c r="B2216" i="75"/>
  <c r="B2217" i="75"/>
  <c r="B2218" i="75"/>
  <c r="B2219" i="75"/>
  <c r="B2220" i="75"/>
  <c r="B2221" i="75"/>
  <c r="B2222" i="75"/>
  <c r="B2223" i="75"/>
  <c r="B2224" i="75"/>
  <c r="B2225" i="75"/>
  <c r="B2226" i="75"/>
  <c r="B2227" i="75"/>
  <c r="B2228" i="75"/>
  <c r="B2229" i="75"/>
  <c r="B2230" i="75"/>
  <c r="B2231" i="75"/>
  <c r="B2232" i="75"/>
  <c r="B2233" i="75"/>
  <c r="B2234" i="75"/>
  <c r="B2235" i="75"/>
  <c r="B2236" i="75"/>
  <c r="B2237" i="75"/>
  <c r="B2238" i="75"/>
  <c r="B2239" i="75"/>
  <c r="B2240" i="75"/>
  <c r="B2241" i="75"/>
  <c r="B2242" i="75"/>
  <c r="B2243" i="75"/>
  <c r="B2244" i="75"/>
  <c r="B2245" i="75"/>
  <c r="B2246" i="75"/>
  <c r="B2247" i="75"/>
  <c r="B2248" i="75"/>
  <c r="B2249" i="75"/>
  <c r="B2250" i="75"/>
  <c r="B2251" i="75"/>
  <c r="B2252" i="75"/>
  <c r="B2253" i="75"/>
  <c r="B2254" i="75"/>
  <c r="B2255" i="75"/>
  <c r="B2256" i="75"/>
  <c r="B2257" i="75"/>
  <c r="B2258" i="75"/>
  <c r="B2259" i="75"/>
  <c r="B2260" i="75"/>
  <c r="B2261" i="75"/>
  <c r="B2262" i="75"/>
  <c r="B2263" i="75"/>
  <c r="B2264" i="75"/>
  <c r="B2265" i="75"/>
  <c r="B2266" i="75"/>
  <c r="B2267" i="75"/>
  <c r="B2268" i="75"/>
  <c r="B2269" i="75"/>
  <c r="B2270" i="75"/>
  <c r="B2271" i="75"/>
  <c r="B2272" i="75"/>
  <c r="B2273" i="75"/>
  <c r="B2274" i="75"/>
  <c r="B2275" i="75"/>
  <c r="B2276" i="75"/>
  <c r="B2277" i="75"/>
  <c r="B2278" i="75"/>
  <c r="B2279" i="75"/>
  <c r="B2280" i="75"/>
  <c r="B2281" i="75"/>
  <c r="B2282" i="75"/>
  <c r="B2283" i="75"/>
  <c r="B2284" i="75"/>
  <c r="B2285" i="75"/>
  <c r="B2286" i="75"/>
  <c r="B2287" i="75"/>
  <c r="B2288" i="75"/>
  <c r="B2289" i="75"/>
  <c r="B2290" i="75"/>
  <c r="B2291" i="75"/>
  <c r="B2292" i="75"/>
  <c r="B2293" i="75"/>
  <c r="B2294" i="75"/>
  <c r="B2295" i="75"/>
  <c r="B2296" i="75"/>
  <c r="H44" i="50" s="1"/>
  <c r="B2297" i="75"/>
  <c r="B2298" i="75"/>
  <c r="B2299" i="75"/>
  <c r="B2300" i="75"/>
  <c r="B2301" i="75"/>
  <c r="B2302" i="75"/>
  <c r="B2303" i="75"/>
  <c r="B2304" i="75"/>
  <c r="B2305" i="75"/>
  <c r="B2306" i="75"/>
  <c r="B2307" i="75"/>
  <c r="B2308" i="75"/>
  <c r="B2309" i="75"/>
  <c r="B2310" i="75"/>
  <c r="B2311" i="75"/>
  <c r="B2312" i="75"/>
  <c r="B2313" i="75"/>
  <c r="B2314" i="75"/>
  <c r="B2315" i="75"/>
  <c r="B2316" i="75"/>
  <c r="B2317" i="75"/>
  <c r="B2318" i="75"/>
  <c r="B2319" i="75"/>
  <c r="B2320" i="75"/>
  <c r="B2321" i="75"/>
  <c r="B2322" i="75"/>
  <c r="B2323" i="75"/>
  <c r="B2324" i="75"/>
  <c r="B2325" i="75"/>
  <c r="B2326" i="75"/>
  <c r="B2327" i="75"/>
  <c r="B2328" i="75"/>
  <c r="B2329" i="75"/>
  <c r="B2330" i="75"/>
  <c r="B2331" i="75"/>
  <c r="B2332" i="75"/>
  <c r="B2333" i="75"/>
  <c r="B2334" i="75"/>
  <c r="B2335" i="75"/>
  <c r="B2336" i="75"/>
  <c r="B2337" i="75"/>
  <c r="B2338" i="75"/>
  <c r="B2339" i="75"/>
  <c r="B2340" i="75"/>
  <c r="B2341" i="75"/>
  <c r="B2342" i="75"/>
  <c r="B2343" i="75"/>
  <c r="B2344" i="75"/>
  <c r="B2345" i="75"/>
  <c r="B2346" i="75"/>
  <c r="B2347" i="75"/>
  <c r="B2348" i="75"/>
  <c r="B2349" i="75"/>
  <c r="B2350" i="75"/>
  <c r="B2351" i="75"/>
  <c r="B2352" i="75"/>
  <c r="B2353" i="75"/>
  <c r="B2354" i="75"/>
  <c r="B2355" i="75"/>
  <c r="B2356" i="75"/>
  <c r="B2357" i="75"/>
  <c r="B2358" i="75"/>
  <c r="B2359" i="75"/>
  <c r="B2360" i="75"/>
  <c r="B2361" i="75"/>
  <c r="B2362" i="75"/>
  <c r="B2363" i="75"/>
  <c r="B2364" i="75"/>
  <c r="B2365" i="75"/>
  <c r="B2366" i="75"/>
  <c r="B2367" i="75"/>
  <c r="B2368" i="75"/>
  <c r="B2369" i="75"/>
  <c r="B2370" i="75"/>
  <c r="B2371" i="75"/>
  <c r="B2372" i="75"/>
  <c r="B2373" i="75"/>
  <c r="B2374" i="75"/>
  <c r="B2375" i="75"/>
  <c r="B2376" i="75"/>
  <c r="B2377" i="75"/>
  <c r="B2378" i="75"/>
  <c r="B2379" i="75"/>
  <c r="B2380" i="75"/>
  <c r="B2381" i="75"/>
  <c r="B2382" i="75"/>
  <c r="B2383" i="75"/>
  <c r="B2384" i="75"/>
  <c r="B2385" i="75"/>
  <c r="B2386" i="75"/>
  <c r="B2387" i="75"/>
  <c r="B2388" i="75"/>
  <c r="B2389" i="75"/>
  <c r="B2390" i="75"/>
  <c r="B2391" i="75"/>
  <c r="B2392" i="75"/>
  <c r="B2393" i="75"/>
  <c r="B2394" i="75"/>
  <c r="B2395" i="75"/>
  <c r="B2396" i="75"/>
  <c r="B2397" i="75"/>
  <c r="B2398" i="75"/>
  <c r="B2399" i="75"/>
  <c r="B2400" i="75"/>
  <c r="B2401" i="75"/>
  <c r="B2402" i="75"/>
  <c r="B2403" i="75"/>
  <c r="B2404" i="75"/>
  <c r="B2405" i="75"/>
  <c r="B2406" i="75"/>
  <c r="B2407" i="75"/>
  <c r="B2408" i="75"/>
  <c r="B2409" i="75"/>
  <c r="B2410" i="75"/>
  <c r="B2411" i="75"/>
  <c r="B2412" i="75"/>
  <c r="B2413" i="75"/>
  <c r="B2414" i="75"/>
  <c r="B2415" i="75"/>
  <c r="B2416" i="75"/>
  <c r="B2417" i="75"/>
  <c r="B2418" i="75"/>
  <c r="B2419" i="75"/>
  <c r="B2420" i="75"/>
  <c r="B2421" i="75"/>
  <c r="B2422" i="75"/>
  <c r="B2423" i="75"/>
  <c r="B2424" i="75"/>
  <c r="B2425" i="75"/>
  <c r="B2426" i="75"/>
  <c r="B2427" i="75"/>
  <c r="B2428" i="75"/>
  <c r="B2429" i="75"/>
  <c r="B2430" i="75"/>
  <c r="B2431" i="75"/>
  <c r="B2432" i="75"/>
  <c r="B2433" i="75"/>
  <c r="B2434" i="75"/>
  <c r="B2435" i="75"/>
  <c r="B2436" i="75"/>
  <c r="B2437" i="75"/>
  <c r="B2438" i="75"/>
  <c r="B2439" i="75"/>
  <c r="B1640" i="75"/>
  <c r="B1641" i="75"/>
  <c r="B1583" i="75"/>
  <c r="B1575" i="75"/>
  <c r="B1525" i="75"/>
  <c r="B1527" i="75"/>
  <c r="B377" i="68"/>
  <c r="B378" i="68"/>
  <c r="B379" i="68"/>
  <c r="B380" i="68"/>
  <c r="B381" i="68"/>
  <c r="B382" i="68"/>
  <c r="B383" i="68"/>
  <c r="B384" i="68"/>
  <c r="B385" i="68"/>
  <c r="B386" i="68"/>
  <c r="B387" i="68"/>
  <c r="B388" i="68"/>
  <c r="B389" i="68"/>
  <c r="B390" i="68"/>
  <c r="B391" i="68"/>
  <c r="B392" i="68"/>
  <c r="B393" i="68"/>
  <c r="B394" i="68"/>
  <c r="B395" i="68"/>
  <c r="B396" i="68"/>
  <c r="B397" i="68"/>
  <c r="B398" i="68"/>
  <c r="B399" i="68"/>
  <c r="B400" i="68"/>
  <c r="B401" i="68"/>
  <c r="B402" i="68"/>
  <c r="B403" i="68"/>
  <c r="B404" i="68"/>
  <c r="B405" i="68"/>
  <c r="B406" i="68"/>
  <c r="B407" i="68"/>
  <c r="B408" i="68"/>
  <c r="B409" i="68"/>
  <c r="B410" i="68"/>
  <c r="B411" i="68"/>
  <c r="I10" i="77" s="1"/>
  <c r="B412" i="68"/>
  <c r="B413" i="68"/>
  <c r="B414" i="68"/>
  <c r="B415" i="68"/>
  <c r="B416" i="68"/>
  <c r="I7" i="77" s="1"/>
  <c r="B417" i="68"/>
  <c r="B418" i="68"/>
  <c r="B419" i="68"/>
  <c r="I3" i="80" s="1"/>
  <c r="B420" i="68"/>
  <c r="B421" i="68"/>
  <c r="B422" i="68"/>
  <c r="B423" i="68"/>
  <c r="B424" i="68"/>
  <c r="B425" i="68"/>
  <c r="B426" i="68"/>
  <c r="B427" i="68"/>
  <c r="B428" i="68"/>
  <c r="B429" i="68"/>
  <c r="B430" i="68"/>
  <c r="G43" i="50" s="1"/>
  <c r="B431" i="68"/>
  <c r="G44" i="50" s="1"/>
  <c r="B432" i="68"/>
  <c r="B433" i="68"/>
  <c r="B434" i="68"/>
  <c r="B435" i="68"/>
  <c r="B436" i="68"/>
  <c r="B437" i="68"/>
  <c r="B438" i="68"/>
  <c r="B439" i="68"/>
  <c r="B440" i="68"/>
  <c r="I8" i="77" s="1"/>
  <c r="B441" i="68"/>
  <c r="I49" i="63" s="1"/>
  <c r="B442" i="68"/>
  <c r="I5" i="77" s="1"/>
  <c r="B443" i="68"/>
  <c r="B444" i="68"/>
  <c r="B445" i="68"/>
  <c r="I6" i="77" s="1"/>
  <c r="B446" i="68"/>
  <c r="B447" i="68"/>
  <c r="B448" i="68"/>
  <c r="B449" i="68"/>
  <c r="B450" i="68"/>
  <c r="B451" i="68"/>
  <c r="B452" i="68"/>
  <c r="B453" i="68"/>
  <c r="B454" i="68"/>
  <c r="B455" i="68"/>
  <c r="B456" i="68"/>
  <c r="G45" i="50" s="1"/>
  <c r="B457" i="68"/>
  <c r="B458" i="68"/>
  <c r="B459" i="68"/>
  <c r="B365" i="68"/>
  <c r="B366" i="68"/>
  <c r="B367" i="68"/>
  <c r="B368" i="68"/>
  <c r="B369" i="68"/>
  <c r="B370" i="68"/>
  <c r="B371" i="68"/>
  <c r="B372" i="68"/>
  <c r="B373" i="68"/>
  <c r="B374" i="68"/>
  <c r="B375" i="68"/>
  <c r="B376" i="68"/>
  <c r="B352" i="68"/>
  <c r="B353" i="68"/>
  <c r="B354" i="68"/>
  <c r="B355" i="68"/>
  <c r="B356" i="68"/>
  <c r="B357" i="68"/>
  <c r="B358" i="68"/>
  <c r="B359" i="68"/>
  <c r="B360" i="68"/>
  <c r="B361" i="68"/>
  <c r="B362" i="68"/>
  <c r="B363" i="68"/>
  <c r="B364" i="68"/>
  <c r="I9" i="59"/>
  <c r="B1091" i="75"/>
  <c r="B1092" i="75"/>
  <c r="B1093" i="75"/>
  <c r="B1094" i="75"/>
  <c r="B1095" i="75"/>
  <c r="B1096" i="75"/>
  <c r="B1097" i="75"/>
  <c r="B1098" i="75"/>
  <c r="B1099" i="75"/>
  <c r="B1100" i="75"/>
  <c r="B1101" i="75"/>
  <c r="B1102" i="75"/>
  <c r="B1103" i="75"/>
  <c r="B1104" i="75"/>
  <c r="B1105" i="75"/>
  <c r="B1106" i="75"/>
  <c r="B1107" i="75"/>
  <c r="B1108" i="75"/>
  <c r="B1109" i="75"/>
  <c r="B1110" i="75"/>
  <c r="B1111" i="75"/>
  <c r="B1112" i="75"/>
  <c r="B1113" i="75"/>
  <c r="B1114" i="75"/>
  <c r="B1115" i="75"/>
  <c r="B1116" i="75"/>
  <c r="J23" i="54" s="1"/>
  <c r="B1117" i="75"/>
  <c r="B1118" i="75"/>
  <c r="B1119" i="75"/>
  <c r="B1120" i="75"/>
  <c r="B1121" i="75"/>
  <c r="B1122" i="75"/>
  <c r="B1123" i="75"/>
  <c r="B1124" i="75"/>
  <c r="B1125" i="75"/>
  <c r="B1126" i="75"/>
  <c r="B1127" i="75"/>
  <c r="B1128" i="75"/>
  <c r="B1129" i="75"/>
  <c r="B1130" i="75"/>
  <c r="B1131" i="75"/>
  <c r="B1132" i="75"/>
  <c r="B1133" i="75"/>
  <c r="B1134" i="75"/>
  <c r="B1135" i="75"/>
  <c r="B1136" i="75"/>
  <c r="B1137" i="75"/>
  <c r="B1138" i="75"/>
  <c r="J39" i="52" s="1"/>
  <c r="B1139" i="75"/>
  <c r="B1140" i="75"/>
  <c r="B1141" i="75"/>
  <c r="B1142" i="75"/>
  <c r="B1143" i="75"/>
  <c r="J40" i="52" s="1"/>
  <c r="B1144" i="75"/>
  <c r="B1145" i="75"/>
  <c r="B1146" i="75"/>
  <c r="B1147" i="75"/>
  <c r="B1148" i="75"/>
  <c r="B1149" i="75"/>
  <c r="B1150" i="75"/>
  <c r="B1151" i="75"/>
  <c r="B1152" i="75"/>
  <c r="B1153" i="75"/>
  <c r="B1154" i="75"/>
  <c r="B1155" i="75"/>
  <c r="B1156" i="75"/>
  <c r="B1157" i="75"/>
  <c r="B1158" i="75"/>
  <c r="B1159" i="75"/>
  <c r="B1160" i="75"/>
  <c r="B1161" i="75"/>
  <c r="B1162" i="75"/>
  <c r="B1163" i="75"/>
  <c r="B1164" i="75"/>
  <c r="B1165" i="75"/>
  <c r="B1166" i="75"/>
  <c r="B1167" i="75"/>
  <c r="B1168" i="75"/>
  <c r="B1169" i="75"/>
  <c r="B1170" i="75"/>
  <c r="B1171" i="75"/>
  <c r="B1172" i="75"/>
  <c r="B1173" i="75"/>
  <c r="B1174" i="75"/>
  <c r="B1175" i="75"/>
  <c r="B1176" i="75"/>
  <c r="B1177" i="75"/>
  <c r="B1178" i="75"/>
  <c r="B1179" i="75"/>
  <c r="B1180" i="75"/>
  <c r="B1181" i="75"/>
  <c r="B1182" i="75"/>
  <c r="B1183" i="75"/>
  <c r="B1184" i="75"/>
  <c r="B1185" i="75"/>
  <c r="B1186" i="75"/>
  <c r="B1187" i="75"/>
  <c r="B1188" i="75"/>
  <c r="B1189" i="75"/>
  <c r="B1190" i="75"/>
  <c r="B1191" i="75"/>
  <c r="B1192" i="75"/>
  <c r="B1193" i="75"/>
  <c r="B1194" i="75"/>
  <c r="B1195" i="75"/>
  <c r="B1196" i="75"/>
  <c r="B1197" i="75"/>
  <c r="B1198" i="75"/>
  <c r="B1199" i="75"/>
  <c r="B1200" i="75"/>
  <c r="B1201" i="75"/>
  <c r="B1202" i="75"/>
  <c r="B1203" i="75"/>
  <c r="B1204" i="75"/>
  <c r="B1205" i="75"/>
  <c r="B1206" i="75"/>
  <c r="B1207" i="75"/>
  <c r="B1208" i="75"/>
  <c r="B1209" i="75"/>
  <c r="B1210" i="75"/>
  <c r="B1211" i="75"/>
  <c r="B1212" i="75"/>
  <c r="B1213" i="75"/>
  <c r="B1214" i="75"/>
  <c r="B1215" i="75"/>
  <c r="B1216" i="75"/>
  <c r="B1217" i="75"/>
  <c r="B1218" i="75"/>
  <c r="B1219" i="75"/>
  <c r="B1220" i="75"/>
  <c r="B1221" i="75"/>
  <c r="B1222" i="75"/>
  <c r="B1223" i="75"/>
  <c r="B1224" i="75"/>
  <c r="B1225" i="75"/>
  <c r="B1226" i="75"/>
  <c r="B1227" i="75"/>
  <c r="B1228" i="75"/>
  <c r="B1229" i="75"/>
  <c r="B1230" i="75"/>
  <c r="B1231" i="75"/>
  <c r="B1232" i="75"/>
  <c r="B1233" i="75"/>
  <c r="B1234" i="75"/>
  <c r="B1235" i="75"/>
  <c r="B1236" i="75"/>
  <c r="B1237" i="75"/>
  <c r="B1238" i="75"/>
  <c r="B1239" i="75"/>
  <c r="J32" i="54" s="1"/>
  <c r="B1240" i="75"/>
  <c r="B1241" i="75"/>
  <c r="B1242" i="75"/>
  <c r="B1243" i="75"/>
  <c r="B1244" i="75"/>
  <c r="B1245" i="75"/>
  <c r="B1246" i="75"/>
  <c r="B1247" i="75"/>
  <c r="B1248" i="75"/>
  <c r="B1249" i="75"/>
  <c r="B1250" i="75"/>
  <c r="B1251" i="75"/>
  <c r="B1252" i="75"/>
  <c r="B1253" i="75"/>
  <c r="B1254" i="75"/>
  <c r="B1255" i="75"/>
  <c r="B1256" i="75"/>
  <c r="B1257" i="75"/>
  <c r="B1258" i="75"/>
  <c r="B1259" i="75"/>
  <c r="B1260" i="75"/>
  <c r="B1261" i="75"/>
  <c r="B1262" i="75"/>
  <c r="B1263" i="75"/>
  <c r="B1264" i="75"/>
  <c r="B1265" i="75"/>
  <c r="B1266" i="75"/>
  <c r="B1267" i="75"/>
  <c r="B1268" i="75"/>
  <c r="B1269" i="75"/>
  <c r="B1270" i="75"/>
  <c r="B1271" i="75"/>
  <c r="B1272" i="75"/>
  <c r="B1273" i="75"/>
  <c r="B1274" i="75"/>
  <c r="B1275" i="75"/>
  <c r="B1276" i="75"/>
  <c r="B1277" i="75"/>
  <c r="B1278" i="75"/>
  <c r="B1279" i="75"/>
  <c r="B1280" i="75"/>
  <c r="B1281" i="75"/>
  <c r="B1282" i="75"/>
  <c r="B1283" i="75"/>
  <c r="B1284" i="75"/>
  <c r="B1285" i="75"/>
  <c r="B1286" i="75"/>
  <c r="B1287" i="75"/>
  <c r="J46" i="63" s="1"/>
  <c r="B1288" i="75"/>
  <c r="B1289" i="75"/>
  <c r="B1290" i="75"/>
  <c r="B1291" i="75"/>
  <c r="J45" i="63" s="1"/>
  <c r="B1292" i="75"/>
  <c r="B1293" i="75"/>
  <c r="B1294" i="75"/>
  <c r="B1295" i="75"/>
  <c r="B1296" i="75"/>
  <c r="B1297" i="75"/>
  <c r="B1298" i="75"/>
  <c r="B1299" i="75"/>
  <c r="B1300" i="75"/>
  <c r="B1301" i="75"/>
  <c r="B1302" i="75"/>
  <c r="B1303" i="75"/>
  <c r="B1304" i="75"/>
  <c r="B1305" i="75"/>
  <c r="B1306" i="75"/>
  <c r="B1307" i="75"/>
  <c r="B1308" i="75"/>
  <c r="B1309" i="75"/>
  <c r="B1310" i="75"/>
  <c r="B1311" i="75"/>
  <c r="B1312" i="75"/>
  <c r="B1313" i="75"/>
  <c r="B1314" i="75"/>
  <c r="B1315" i="75"/>
  <c r="B1316" i="75"/>
  <c r="B1317" i="75"/>
  <c r="B1318" i="75"/>
  <c r="B1319" i="75"/>
  <c r="B1320" i="75"/>
  <c r="B1321" i="75"/>
  <c r="B1322" i="75"/>
  <c r="B1323" i="75"/>
  <c r="B1324" i="75"/>
  <c r="B1325" i="75"/>
  <c r="B1326" i="75"/>
  <c r="B1327" i="75"/>
  <c r="B1328" i="75"/>
  <c r="B1329" i="75"/>
  <c r="B1330" i="75"/>
  <c r="B1331" i="75"/>
  <c r="B1332" i="75"/>
  <c r="B1333" i="75"/>
  <c r="B1334" i="75"/>
  <c r="B1335" i="75"/>
  <c r="B1336" i="75"/>
  <c r="B1337" i="75"/>
  <c r="B1338" i="75"/>
  <c r="B1339" i="75"/>
  <c r="B1340" i="75"/>
  <c r="B1341" i="75"/>
  <c r="B1342" i="75"/>
  <c r="B1343" i="75"/>
  <c r="B1344" i="75"/>
  <c r="B1345" i="75"/>
  <c r="B1346" i="75"/>
  <c r="B1347" i="75"/>
  <c r="B1348" i="75"/>
  <c r="B1349" i="75"/>
  <c r="B1350" i="75"/>
  <c r="B1351" i="75"/>
  <c r="B1352" i="75"/>
  <c r="B1353" i="75"/>
  <c r="B1354" i="75"/>
  <c r="B1355" i="75"/>
  <c r="B1356" i="75"/>
  <c r="B1357" i="75"/>
  <c r="B1358" i="75"/>
  <c r="B1359" i="75"/>
  <c r="B1360" i="75"/>
  <c r="B1361" i="75"/>
  <c r="B1362" i="75"/>
  <c r="B1363" i="75"/>
  <c r="B1364" i="75"/>
  <c r="B1365" i="75"/>
  <c r="B1366" i="75"/>
  <c r="B1367" i="75"/>
  <c r="B1368" i="75"/>
  <c r="B1369" i="75"/>
  <c r="B1370" i="75"/>
  <c r="B1371" i="75"/>
  <c r="B1372" i="75"/>
  <c r="B1373" i="75"/>
  <c r="B1374" i="75"/>
  <c r="B1375" i="75"/>
  <c r="B1376" i="75"/>
  <c r="B1377" i="75"/>
  <c r="B1378" i="75"/>
  <c r="B1379" i="75"/>
  <c r="B1380" i="75"/>
  <c r="B1381" i="75"/>
  <c r="B1382" i="75"/>
  <c r="B1383" i="75"/>
  <c r="B1384" i="75"/>
  <c r="B1385" i="75"/>
  <c r="B1386" i="75"/>
  <c r="B1387" i="75"/>
  <c r="B1388" i="75"/>
  <c r="B1389" i="75"/>
  <c r="B1390" i="75"/>
  <c r="B1391" i="75"/>
  <c r="B1392" i="75"/>
  <c r="B1393" i="75"/>
  <c r="B1394" i="75"/>
  <c r="B1395" i="75"/>
  <c r="B1396" i="75"/>
  <c r="B1397" i="75"/>
  <c r="B1398" i="75"/>
  <c r="B1399" i="75"/>
  <c r="B1400" i="75"/>
  <c r="B1401" i="75"/>
  <c r="B1402" i="75"/>
  <c r="B1403" i="75"/>
  <c r="B1404" i="75"/>
  <c r="B1405" i="75"/>
  <c r="B1406" i="75"/>
  <c r="B1407" i="75"/>
  <c r="B1408" i="75"/>
  <c r="B1409" i="75"/>
  <c r="B1410" i="75"/>
  <c r="B1411" i="75"/>
  <c r="B1412" i="75"/>
  <c r="B1413" i="75"/>
  <c r="B1414" i="75"/>
  <c r="B1415" i="75"/>
  <c r="B1416" i="75"/>
  <c r="B1417" i="75"/>
  <c r="B1418" i="75"/>
  <c r="B1419" i="75"/>
  <c r="B1420" i="75"/>
  <c r="B1421" i="75"/>
  <c r="B1422" i="75"/>
  <c r="B1423" i="75"/>
  <c r="B1424" i="75"/>
  <c r="B1425" i="75"/>
  <c r="B1426" i="75"/>
  <c r="B1427" i="75"/>
  <c r="B1428" i="75"/>
  <c r="B1429" i="75"/>
  <c r="B1430" i="75"/>
  <c r="B1431" i="75"/>
  <c r="B1432" i="75"/>
  <c r="B1433" i="75"/>
  <c r="B1434" i="75"/>
  <c r="B1435" i="75"/>
  <c r="B1436" i="75"/>
  <c r="B1437" i="75"/>
  <c r="B1438" i="75"/>
  <c r="B1439" i="75"/>
  <c r="B1440" i="75"/>
  <c r="B1441" i="75"/>
  <c r="B1442" i="75"/>
  <c r="B1443" i="75"/>
  <c r="B1444" i="75"/>
  <c r="B1445" i="75"/>
  <c r="B1446" i="75"/>
  <c r="B1447" i="75"/>
  <c r="B1448" i="75"/>
  <c r="B1449" i="75"/>
  <c r="B1450" i="75"/>
  <c r="B1451" i="75"/>
  <c r="B1452" i="75"/>
  <c r="B1453" i="75"/>
  <c r="B1454" i="75"/>
  <c r="B1455" i="75"/>
  <c r="B1456" i="75"/>
  <c r="B1457" i="75"/>
  <c r="B1458" i="75"/>
  <c r="J35" i="55" s="1"/>
  <c r="B1459" i="75"/>
  <c r="B1460" i="75"/>
  <c r="B1461" i="75"/>
  <c r="J11" i="62" s="1"/>
  <c r="B1462" i="75"/>
  <c r="B1463" i="75"/>
  <c r="B1464" i="75"/>
  <c r="B1465" i="75"/>
  <c r="B1466" i="75"/>
  <c r="B1467" i="75"/>
  <c r="B1468" i="75"/>
  <c r="B1469" i="75"/>
  <c r="B1470" i="75"/>
  <c r="B1471" i="75"/>
  <c r="B1472" i="75"/>
  <c r="B1473" i="75"/>
  <c r="B1474" i="75"/>
  <c r="B1475" i="75"/>
  <c r="B1476" i="75"/>
  <c r="B1477" i="75"/>
  <c r="B1478" i="75"/>
  <c r="B1479" i="75"/>
  <c r="B1480" i="75"/>
  <c r="B1481" i="75"/>
  <c r="B1482" i="75"/>
  <c r="B1483" i="75"/>
  <c r="B1484" i="75"/>
  <c r="B1485" i="75"/>
  <c r="B1486" i="75"/>
  <c r="B1487" i="75"/>
  <c r="B1488" i="75"/>
  <c r="B1489" i="75"/>
  <c r="B1490" i="75"/>
  <c r="B1491" i="75"/>
  <c r="B1492" i="75"/>
  <c r="B1493" i="75"/>
  <c r="B1494" i="75"/>
  <c r="B1495" i="75"/>
  <c r="B1496" i="75"/>
  <c r="B1497" i="75"/>
  <c r="B1498" i="75"/>
  <c r="B1499" i="75"/>
  <c r="B1500" i="75"/>
  <c r="B1501" i="75"/>
  <c r="B1502" i="75"/>
  <c r="B1503" i="75"/>
  <c r="B1504" i="75"/>
  <c r="B1505" i="75"/>
  <c r="B1506" i="75"/>
  <c r="B1507" i="75"/>
  <c r="B1508" i="75"/>
  <c r="B1509" i="75"/>
  <c r="B1510" i="75"/>
  <c r="B1511" i="75"/>
  <c r="B1512" i="75"/>
  <c r="B1513" i="75"/>
  <c r="B1514" i="75"/>
  <c r="B1515" i="75"/>
  <c r="B1516" i="75"/>
  <c r="B1517" i="75"/>
  <c r="B1518" i="75"/>
  <c r="B1519" i="75"/>
  <c r="B1520" i="75"/>
  <c r="B1521" i="75"/>
  <c r="B1522" i="75"/>
  <c r="B1523" i="75"/>
  <c r="B1524" i="75"/>
  <c r="B1526" i="75"/>
  <c r="B1528" i="75"/>
  <c r="B1529" i="75"/>
  <c r="B1530" i="75"/>
  <c r="B1531" i="75"/>
  <c r="J9" i="80" s="1"/>
  <c r="B1532" i="75"/>
  <c r="B1533" i="75"/>
  <c r="B1534" i="75"/>
  <c r="B1535" i="75"/>
  <c r="B1536" i="75"/>
  <c r="B1537" i="75"/>
  <c r="B1538" i="75"/>
  <c r="B1539" i="75"/>
  <c r="B1540" i="75"/>
  <c r="B1541" i="75"/>
  <c r="B1542" i="75"/>
  <c r="B1543" i="75"/>
  <c r="B1544" i="75"/>
  <c r="B1545" i="75"/>
  <c r="B1546" i="75"/>
  <c r="B1547" i="75"/>
  <c r="B1548" i="75"/>
  <c r="B1549" i="75"/>
  <c r="B1550" i="75"/>
  <c r="B1551" i="75"/>
  <c r="B1552" i="75"/>
  <c r="B1553" i="75"/>
  <c r="B1554" i="75"/>
  <c r="B1555" i="75"/>
  <c r="B1556" i="75"/>
  <c r="B1557" i="75"/>
  <c r="B1558" i="75"/>
  <c r="B1559" i="75"/>
  <c r="B1560" i="75"/>
  <c r="B1561" i="75"/>
  <c r="B1562" i="75"/>
  <c r="B1563" i="75"/>
  <c r="B1564" i="75"/>
  <c r="B1565" i="75"/>
  <c r="B1566" i="75"/>
  <c r="B1567" i="75"/>
  <c r="B1568" i="75"/>
  <c r="B1569" i="75"/>
  <c r="B1570" i="75"/>
  <c r="B1571" i="75"/>
  <c r="B1572" i="75"/>
  <c r="B1573" i="75"/>
  <c r="B1574" i="75"/>
  <c r="B1576" i="75"/>
  <c r="B1577" i="75"/>
  <c r="B1578" i="75"/>
  <c r="B1579" i="75"/>
  <c r="B1580" i="75"/>
  <c r="B1581" i="75"/>
  <c r="B1582" i="75"/>
  <c r="B1584" i="75"/>
  <c r="B1585" i="75"/>
  <c r="B1586" i="75"/>
  <c r="B1587" i="75"/>
  <c r="B1588" i="75"/>
  <c r="B1589" i="75"/>
  <c r="B1590" i="75"/>
  <c r="B1591" i="75"/>
  <c r="B1592" i="75"/>
  <c r="B1593" i="75"/>
  <c r="B1594" i="75"/>
  <c r="B1595" i="75"/>
  <c r="B1596" i="75"/>
  <c r="B1597" i="75"/>
  <c r="B1598" i="75"/>
  <c r="B1599" i="75"/>
  <c r="B1600" i="75"/>
  <c r="B1601" i="75"/>
  <c r="B1602" i="75"/>
  <c r="B1603" i="75"/>
  <c r="B1604" i="75"/>
  <c r="B1605" i="75"/>
  <c r="B1606" i="75"/>
  <c r="B1607" i="75"/>
  <c r="B1608" i="75"/>
  <c r="B1609" i="75"/>
  <c r="B1610" i="75"/>
  <c r="B1611" i="75"/>
  <c r="B1612" i="75"/>
  <c r="B1613" i="75"/>
  <c r="B1614" i="75"/>
  <c r="B1615" i="75"/>
  <c r="B1616" i="75"/>
  <c r="B1617" i="75"/>
  <c r="B1618" i="75"/>
  <c r="B1619" i="75"/>
  <c r="B1620" i="75"/>
  <c r="B1621" i="75"/>
  <c r="B1622" i="75"/>
  <c r="B1623" i="75"/>
  <c r="B1624" i="75"/>
  <c r="B1625" i="75"/>
  <c r="B1626" i="75"/>
  <c r="B1627" i="75"/>
  <c r="B1628" i="75"/>
  <c r="B1629" i="75"/>
  <c r="B1630" i="75"/>
  <c r="B1631" i="75"/>
  <c r="B1632" i="75"/>
  <c r="B1633" i="75"/>
  <c r="B1634" i="75"/>
  <c r="B1635" i="75"/>
  <c r="B1636" i="75"/>
  <c r="B1637" i="75"/>
  <c r="B1638" i="75"/>
  <c r="B1639" i="75"/>
  <c r="B1642" i="75"/>
  <c r="B1643" i="75"/>
  <c r="B1644" i="75"/>
  <c r="B1645" i="75"/>
  <c r="B1646" i="75"/>
  <c r="B1647" i="75"/>
  <c r="B1648" i="75"/>
  <c r="B1649" i="75"/>
  <c r="B1650" i="75"/>
  <c r="B1651" i="75"/>
  <c r="B1652" i="75"/>
  <c r="B1653" i="75"/>
  <c r="B1654" i="75"/>
  <c r="B1655" i="75"/>
  <c r="B1656" i="75"/>
  <c r="B1657" i="75"/>
  <c r="B1658" i="75"/>
  <c r="B1659" i="75"/>
  <c r="B1660" i="75"/>
  <c r="B1661" i="75"/>
  <c r="B1662" i="75"/>
  <c r="B1663" i="75"/>
  <c r="B1664" i="75"/>
  <c r="B1665" i="75"/>
  <c r="B1666" i="75"/>
  <c r="B1667" i="75"/>
  <c r="B1668" i="75"/>
  <c r="B1669" i="75"/>
  <c r="B1670" i="75"/>
  <c r="B1671" i="75"/>
  <c r="B1672" i="75"/>
  <c r="B1673" i="75"/>
  <c r="B1674" i="75"/>
  <c r="B1675" i="75"/>
  <c r="B1676" i="75"/>
  <c r="B1677" i="75"/>
  <c r="B1678" i="75"/>
  <c r="B1679" i="75"/>
  <c r="B1680" i="75"/>
  <c r="B1681" i="75"/>
  <c r="B1682" i="75"/>
  <c r="B1683" i="75"/>
  <c r="B1684" i="75"/>
  <c r="B1685" i="75"/>
  <c r="B1686" i="75"/>
  <c r="B1687" i="75"/>
  <c r="B1688" i="75"/>
  <c r="B1689" i="75"/>
  <c r="B1690" i="75"/>
  <c r="B1691" i="75"/>
  <c r="B1692" i="75"/>
  <c r="B1693" i="75"/>
  <c r="B1694" i="75"/>
  <c r="B1695" i="75"/>
  <c r="B1696" i="75"/>
  <c r="B1697" i="75"/>
  <c r="B1698" i="75"/>
  <c r="B1699" i="75"/>
  <c r="B1700" i="75"/>
  <c r="B1701" i="75"/>
  <c r="B1702" i="75"/>
  <c r="B1703" i="75"/>
  <c r="B1704" i="75"/>
  <c r="B1705" i="75"/>
  <c r="B1706" i="75"/>
  <c r="B1707" i="75"/>
  <c r="B1708" i="75"/>
  <c r="B1709" i="75"/>
  <c r="B1710" i="75"/>
  <c r="B1711" i="75"/>
  <c r="B1712" i="75"/>
  <c r="B1713" i="75"/>
  <c r="B1714" i="75"/>
  <c r="B1715" i="75"/>
  <c r="B1716" i="75"/>
  <c r="B1717" i="75"/>
  <c r="B1718" i="75"/>
  <c r="B1719" i="75"/>
  <c r="B1720" i="75"/>
  <c r="B1721" i="75"/>
  <c r="B1722" i="75"/>
  <c r="B1723" i="75"/>
  <c r="B1724" i="75"/>
  <c r="B1725" i="75"/>
  <c r="B1726" i="75"/>
  <c r="B1727" i="75"/>
  <c r="B1728" i="75"/>
  <c r="B1729" i="75"/>
  <c r="B1730" i="75"/>
  <c r="B1731" i="75"/>
  <c r="B1732" i="75"/>
  <c r="B1733" i="75"/>
  <c r="B1734" i="75"/>
  <c r="B1735" i="75"/>
  <c r="B1736" i="75"/>
  <c r="B1737" i="75"/>
  <c r="B1738" i="75"/>
  <c r="B1739" i="75"/>
  <c r="B1740" i="75"/>
  <c r="B1741" i="75"/>
  <c r="B1742" i="75"/>
  <c r="B1743" i="75"/>
  <c r="B1744" i="75"/>
  <c r="B1745" i="75"/>
  <c r="B1746" i="75"/>
  <c r="B1747" i="75"/>
  <c r="B1748" i="75"/>
  <c r="B1749" i="75"/>
  <c r="B1750" i="75"/>
  <c r="B1751" i="75"/>
  <c r="B1752" i="75"/>
  <c r="B1753" i="75"/>
  <c r="B1754" i="75"/>
  <c r="B1755" i="75"/>
  <c r="B1756" i="75"/>
  <c r="B1757" i="75"/>
  <c r="B1758" i="75"/>
  <c r="H43" i="50" s="1"/>
  <c r="B1759" i="75"/>
  <c r="B1760" i="75"/>
  <c r="B1761" i="75"/>
  <c r="B1762" i="75"/>
  <c r="B1763" i="75"/>
  <c r="B1764" i="75"/>
  <c r="B1765" i="75"/>
  <c r="B1766" i="75"/>
  <c r="B1767" i="75"/>
  <c r="B1768" i="75"/>
  <c r="B1769" i="75"/>
  <c r="B1770" i="75"/>
  <c r="B1771" i="75"/>
  <c r="B1772" i="75"/>
  <c r="B1773" i="75"/>
  <c r="B1774" i="75"/>
  <c r="B1775" i="75"/>
  <c r="B1776" i="75"/>
  <c r="B1777" i="75"/>
  <c r="B1778" i="75"/>
  <c r="B1779" i="75"/>
  <c r="B1780" i="75"/>
  <c r="B1781" i="75"/>
  <c r="B1782" i="75"/>
  <c r="B1783" i="75"/>
  <c r="B1784" i="75"/>
  <c r="B1785" i="75"/>
  <c r="B1786" i="75"/>
  <c r="B1787" i="75"/>
  <c r="B1788" i="75"/>
  <c r="B1789" i="75"/>
  <c r="B1790" i="75"/>
  <c r="B1791" i="75"/>
  <c r="B1792" i="75"/>
  <c r="B1793" i="75"/>
  <c r="B1794" i="75"/>
  <c r="B1795" i="75"/>
  <c r="B1796" i="75"/>
  <c r="B1797" i="75"/>
  <c r="B1798" i="75"/>
  <c r="B1799" i="75"/>
  <c r="B1800" i="75"/>
  <c r="B1801" i="75"/>
  <c r="B1802" i="75"/>
  <c r="B1803" i="75"/>
  <c r="B1804" i="75"/>
  <c r="B1805" i="75"/>
  <c r="B1806" i="75"/>
  <c r="B1807" i="75"/>
  <c r="B1808" i="75"/>
  <c r="B1809" i="75"/>
  <c r="B1810" i="75"/>
  <c r="B1811" i="75"/>
  <c r="B1812" i="75"/>
  <c r="B1813" i="75"/>
  <c r="B1814" i="75"/>
  <c r="B1815" i="75"/>
  <c r="B1816" i="75"/>
  <c r="B1817" i="75"/>
  <c r="B1818" i="75"/>
  <c r="B1819" i="75"/>
  <c r="B1820" i="75"/>
  <c r="B1821" i="75"/>
  <c r="B1822" i="75"/>
  <c r="B1823" i="75"/>
  <c r="B1824" i="75"/>
  <c r="B1825" i="75"/>
  <c r="B1826" i="75"/>
  <c r="B1827" i="75"/>
  <c r="B1828" i="75"/>
  <c r="B1829" i="75"/>
  <c r="B1830" i="75"/>
  <c r="B1831" i="75"/>
  <c r="B1832" i="75"/>
  <c r="B1833" i="75"/>
  <c r="B1834" i="75"/>
  <c r="B1835" i="75"/>
  <c r="B1836" i="75"/>
  <c r="B1837" i="75"/>
  <c r="B1838" i="75"/>
  <c r="B1839" i="75"/>
  <c r="B1840" i="75"/>
  <c r="B1841" i="75"/>
  <c r="B1842" i="75"/>
  <c r="B1843" i="75"/>
  <c r="B1844" i="75"/>
  <c r="B1845" i="75"/>
  <c r="B1846" i="75"/>
  <c r="B1847" i="75"/>
  <c r="B1848" i="75"/>
  <c r="B1849" i="75"/>
  <c r="B1850" i="75"/>
  <c r="B1851" i="75"/>
  <c r="B1852" i="75"/>
  <c r="B1853" i="75"/>
  <c r="B1854" i="75"/>
  <c r="B1855" i="75"/>
  <c r="B1856" i="75"/>
  <c r="B1857" i="75"/>
  <c r="B1858" i="75"/>
  <c r="B1859" i="75"/>
  <c r="B1860" i="75"/>
  <c r="B1861" i="75"/>
  <c r="B1862" i="75"/>
  <c r="B1863" i="75"/>
  <c r="B1864" i="75"/>
  <c r="B1865" i="75"/>
  <c r="B1866" i="75"/>
  <c r="B1867" i="75"/>
  <c r="B1868" i="75"/>
  <c r="B1869" i="75"/>
  <c r="B1870" i="75"/>
  <c r="B1871" i="75"/>
  <c r="B1872" i="75"/>
  <c r="B1873" i="75"/>
  <c r="B1874" i="75"/>
  <c r="B1875" i="75"/>
  <c r="B1876" i="75"/>
  <c r="B1877" i="75"/>
  <c r="B1878" i="75"/>
  <c r="B1879" i="75"/>
  <c r="B1880" i="75"/>
  <c r="B1881" i="75"/>
  <c r="B1882" i="75"/>
  <c r="B1883" i="75"/>
  <c r="B1884" i="75"/>
  <c r="B1885" i="75"/>
  <c r="B1886" i="75"/>
  <c r="B1887" i="75"/>
  <c r="B1888" i="75"/>
  <c r="B1889" i="75"/>
  <c r="B1890" i="75"/>
  <c r="B1891" i="75"/>
  <c r="B1892" i="75"/>
  <c r="B1893" i="75"/>
  <c r="B1894" i="75"/>
  <c r="B1895" i="75"/>
  <c r="B1896" i="75"/>
  <c r="B1897" i="75"/>
  <c r="B1898" i="75"/>
  <c r="B1899" i="75"/>
  <c r="B1900" i="75"/>
  <c r="B1901" i="75"/>
  <c r="B1902" i="75"/>
  <c r="B1903" i="75"/>
  <c r="B1904" i="75"/>
  <c r="B1905" i="75"/>
  <c r="B1906" i="75"/>
  <c r="B1907" i="75"/>
  <c r="B1908" i="75"/>
  <c r="B1909" i="75"/>
  <c r="B1910" i="75"/>
  <c r="B1911" i="75"/>
  <c r="B1912" i="75"/>
  <c r="B1913" i="75"/>
  <c r="B1914" i="75"/>
  <c r="B1915" i="75"/>
  <c r="B1916" i="75"/>
  <c r="B1917" i="75"/>
  <c r="B1918" i="75"/>
  <c r="B1919" i="75"/>
  <c r="B1920" i="75"/>
  <c r="B1921" i="75"/>
  <c r="B1922" i="75"/>
  <c r="B1923" i="75"/>
  <c r="B1924" i="75"/>
  <c r="B1925" i="75"/>
  <c r="B1926" i="75"/>
  <c r="B1927" i="75"/>
  <c r="B1928" i="75"/>
  <c r="B1929" i="75"/>
  <c r="B1930" i="75"/>
  <c r="B1931" i="75"/>
  <c r="B1932" i="75"/>
  <c r="B1933" i="75"/>
  <c r="B1934" i="75"/>
  <c r="B1935" i="75"/>
  <c r="B1936" i="75"/>
  <c r="B1937" i="75"/>
  <c r="B1938" i="75"/>
  <c r="B1939" i="75"/>
  <c r="B1940" i="75"/>
  <c r="B1941" i="75"/>
  <c r="B1942" i="75"/>
  <c r="B1943" i="75"/>
  <c r="B1944" i="75"/>
  <c r="B1945" i="75"/>
  <c r="B1946" i="75"/>
  <c r="B1947" i="75"/>
  <c r="B1948" i="75"/>
  <c r="B1949" i="75"/>
  <c r="B1950" i="75"/>
  <c r="B1951" i="75"/>
  <c r="B1952" i="75"/>
  <c r="B1953" i="75"/>
  <c r="B1954" i="75"/>
  <c r="B1955" i="75"/>
  <c r="B1956" i="75"/>
  <c r="B1957" i="75"/>
  <c r="B1958" i="75"/>
  <c r="B1959" i="75"/>
  <c r="B1960" i="75"/>
  <c r="B1961" i="75"/>
  <c r="B1962" i="75"/>
  <c r="B1963" i="75"/>
  <c r="B1964" i="75"/>
  <c r="B1965" i="75"/>
  <c r="B1966" i="75"/>
  <c r="B1967" i="75"/>
  <c r="B1968" i="75"/>
  <c r="B1969" i="75"/>
  <c r="B1970" i="75"/>
  <c r="B1971" i="75"/>
  <c r="B1972" i="75"/>
  <c r="B1973" i="75"/>
  <c r="B1974" i="75"/>
  <c r="B1975" i="75"/>
  <c r="B1976" i="75"/>
  <c r="B1977" i="75"/>
  <c r="B1978" i="75"/>
  <c r="B1979" i="75"/>
  <c r="B1980" i="75"/>
  <c r="B1981" i="75"/>
  <c r="B1982" i="75"/>
  <c r="B1983" i="75"/>
  <c r="B1984" i="75"/>
  <c r="B1985" i="75"/>
  <c r="B1986" i="75"/>
  <c r="B1987" i="75"/>
  <c r="B1988" i="75"/>
  <c r="B1989" i="75"/>
  <c r="B1990" i="75"/>
  <c r="B1991" i="75"/>
  <c r="B1992" i="75"/>
  <c r="B1993" i="75"/>
  <c r="B1994" i="75"/>
  <c r="B1995" i="75"/>
  <c r="B989" i="75"/>
  <c r="B990" i="75"/>
  <c r="B991" i="75"/>
  <c r="B992" i="75"/>
  <c r="B993" i="75"/>
  <c r="B994" i="75"/>
  <c r="B995" i="75"/>
  <c r="J24" i="63" s="1"/>
  <c r="B996" i="75"/>
  <c r="B997" i="75"/>
  <c r="B998" i="75"/>
  <c r="B999" i="75"/>
  <c r="B1000" i="75"/>
  <c r="B1001" i="75"/>
  <c r="B1002" i="75"/>
  <c r="B1003" i="75"/>
  <c r="B1004" i="75"/>
  <c r="B1005" i="75"/>
  <c r="B1006" i="75"/>
  <c r="B1007" i="75"/>
  <c r="B1008" i="75"/>
  <c r="B1009" i="75"/>
  <c r="B1010" i="75"/>
  <c r="B1011" i="75"/>
  <c r="B1012" i="75"/>
  <c r="B1013" i="75"/>
  <c r="B1014" i="75"/>
  <c r="B1015" i="75"/>
  <c r="B1016" i="75"/>
  <c r="B1017" i="75"/>
  <c r="B1018" i="75"/>
  <c r="B1019" i="75"/>
  <c r="B1020" i="75"/>
  <c r="B1021" i="75"/>
  <c r="B1022" i="75"/>
  <c r="B1023" i="75"/>
  <c r="B1024" i="75"/>
  <c r="B1025" i="75"/>
  <c r="B1026" i="75"/>
  <c r="B1027" i="75"/>
  <c r="B1028" i="75"/>
  <c r="B1029" i="75"/>
  <c r="B1030" i="75"/>
  <c r="B1031" i="75"/>
  <c r="B1032" i="75"/>
  <c r="B1033" i="75"/>
  <c r="B1034" i="75"/>
  <c r="B1035" i="75"/>
  <c r="B1036" i="75"/>
  <c r="B1037" i="75"/>
  <c r="B1038" i="75"/>
  <c r="B1039" i="75"/>
  <c r="B1040" i="75"/>
  <c r="B1041" i="75"/>
  <c r="B1042" i="75"/>
  <c r="B1043" i="75"/>
  <c r="B1044" i="75"/>
  <c r="B1045" i="75"/>
  <c r="B1046" i="75"/>
  <c r="B1047" i="75"/>
  <c r="B1048" i="75"/>
  <c r="B1049" i="75"/>
  <c r="B1050" i="75"/>
  <c r="B1051" i="75"/>
  <c r="B1052" i="75"/>
  <c r="B1053" i="75"/>
  <c r="B1054" i="75"/>
  <c r="B1055" i="75"/>
  <c r="B1056" i="75"/>
  <c r="B1057" i="75"/>
  <c r="B1058" i="75"/>
  <c r="B1059" i="75"/>
  <c r="B1060" i="75"/>
  <c r="B1061" i="75"/>
  <c r="B1062" i="75"/>
  <c r="B1063" i="75"/>
  <c r="B1064" i="75"/>
  <c r="B1065" i="75"/>
  <c r="B1066" i="75"/>
  <c r="B1067" i="75"/>
  <c r="B1068" i="75"/>
  <c r="B1069" i="75"/>
  <c r="B1070" i="75"/>
  <c r="B1071" i="75"/>
  <c r="B1072" i="75"/>
  <c r="B1073" i="75"/>
  <c r="B1074" i="75"/>
  <c r="B1075" i="75"/>
  <c r="B1076" i="75"/>
  <c r="J34" i="63" s="1"/>
  <c r="B1077" i="75"/>
  <c r="B1078" i="75"/>
  <c r="B1079" i="75"/>
  <c r="B1080" i="75"/>
  <c r="B1081" i="75"/>
  <c r="B1082" i="75"/>
  <c r="J35" i="63" s="1"/>
  <c r="B1083" i="75"/>
  <c r="B1084" i="75"/>
  <c r="B1085" i="75"/>
  <c r="B1086" i="75"/>
  <c r="B1087" i="75"/>
  <c r="B1088" i="75"/>
  <c r="B1089" i="75"/>
  <c r="B1090" i="75"/>
  <c r="I29" i="54"/>
  <c r="I28" i="54"/>
  <c r="I27" i="54"/>
  <c r="I25" i="54"/>
  <c r="I26" i="54"/>
  <c r="I23" i="55"/>
  <c r="I22" i="55"/>
  <c r="I21" i="55"/>
  <c r="I33" i="62"/>
  <c r="I28" i="62"/>
  <c r="B161" i="68"/>
  <c r="B162" i="68"/>
  <c r="B163" i="68"/>
  <c r="B164" i="68"/>
  <c r="B165" i="68"/>
  <c r="B166" i="68"/>
  <c r="B167" i="68"/>
  <c r="B168" i="68"/>
  <c r="B169" i="68"/>
  <c r="B170" i="68"/>
  <c r="B171" i="68"/>
  <c r="B172" i="68"/>
  <c r="B173" i="68"/>
  <c r="B174" i="68"/>
  <c r="B175" i="68"/>
  <c r="B176" i="68"/>
  <c r="B177" i="68"/>
  <c r="B178" i="68"/>
  <c r="B179" i="68"/>
  <c r="B180" i="68"/>
  <c r="B181" i="68"/>
  <c r="B182" i="68"/>
  <c r="B183" i="68"/>
  <c r="B184" i="68"/>
  <c r="B185" i="68"/>
  <c r="B186" i="68"/>
  <c r="B187" i="68"/>
  <c r="B188" i="68"/>
  <c r="B189" i="68"/>
  <c r="B190" i="68"/>
  <c r="B191" i="68"/>
  <c r="B192" i="68"/>
  <c r="B193" i="68"/>
  <c r="B194" i="68"/>
  <c r="B195" i="68"/>
  <c r="B196" i="68"/>
  <c r="B197" i="68"/>
  <c r="B198" i="68"/>
  <c r="B199" i="68"/>
  <c r="B200" i="68"/>
  <c r="B201" i="68"/>
  <c r="B202" i="68"/>
  <c r="B203" i="68"/>
  <c r="B204" i="68"/>
  <c r="B205" i="68"/>
  <c r="B206" i="68"/>
  <c r="B207" i="68"/>
  <c r="B208" i="68"/>
  <c r="B209" i="68"/>
  <c r="B210" i="68"/>
  <c r="B211" i="68"/>
  <c r="B212" i="68"/>
  <c r="B213" i="68"/>
  <c r="B214" i="68"/>
  <c r="B215" i="68"/>
  <c r="B216" i="68"/>
  <c r="B217" i="68"/>
  <c r="B218" i="68"/>
  <c r="B219" i="68"/>
  <c r="B220" i="68"/>
  <c r="B221" i="68"/>
  <c r="B222" i="68"/>
  <c r="B223" i="68"/>
  <c r="B224" i="68"/>
  <c r="B225" i="68"/>
  <c r="B226" i="68"/>
  <c r="B227" i="68"/>
  <c r="B228" i="68"/>
  <c r="B229" i="68"/>
  <c r="B230" i="68"/>
  <c r="B231" i="68"/>
  <c r="B232" i="68"/>
  <c r="B233" i="68"/>
  <c r="B234" i="68"/>
  <c r="B235" i="68"/>
  <c r="B236" i="68"/>
  <c r="B237" i="68"/>
  <c r="B238" i="68"/>
  <c r="B239" i="68"/>
  <c r="B240" i="68"/>
  <c r="B241" i="68"/>
  <c r="B242" i="68"/>
  <c r="B243" i="68"/>
  <c r="B244" i="68"/>
  <c r="B245" i="68"/>
  <c r="B246" i="68"/>
  <c r="B247" i="68"/>
  <c r="B248" i="68"/>
  <c r="B249" i="68"/>
  <c r="B250" i="68"/>
  <c r="B251" i="68"/>
  <c r="B252" i="68"/>
  <c r="B253" i="68"/>
  <c r="B254" i="68"/>
  <c r="B255" i="68"/>
  <c r="B256" i="68"/>
  <c r="B257" i="68"/>
  <c r="B258" i="68"/>
  <c r="B259" i="68"/>
  <c r="B260" i="68"/>
  <c r="B261" i="68"/>
  <c r="B262" i="68"/>
  <c r="B263" i="68"/>
  <c r="B264" i="68"/>
  <c r="B265" i="68"/>
  <c r="B266" i="68"/>
  <c r="B267" i="68"/>
  <c r="B268" i="68"/>
  <c r="B269" i="68"/>
  <c r="B270" i="68"/>
  <c r="B271" i="68"/>
  <c r="B272" i="68"/>
  <c r="B273" i="68"/>
  <c r="B274" i="68"/>
  <c r="B275" i="68"/>
  <c r="B276" i="68"/>
  <c r="B277" i="68"/>
  <c r="B278" i="68"/>
  <c r="B279" i="68"/>
  <c r="B280" i="68"/>
  <c r="B281" i="68"/>
  <c r="B282" i="68"/>
  <c r="B283" i="68"/>
  <c r="B284" i="68"/>
  <c r="B285" i="68"/>
  <c r="B286" i="68"/>
  <c r="B287" i="68"/>
  <c r="B288" i="68"/>
  <c r="B289" i="68"/>
  <c r="B290" i="68"/>
  <c r="B291" i="68"/>
  <c r="B292" i="68"/>
  <c r="B293" i="68"/>
  <c r="B294" i="68"/>
  <c r="B295" i="68"/>
  <c r="B296" i="68"/>
  <c r="B297" i="68"/>
  <c r="B298" i="68"/>
  <c r="B299" i="68"/>
  <c r="B300" i="68"/>
  <c r="B301" i="68"/>
  <c r="B302" i="68"/>
  <c r="B303" i="68"/>
  <c r="B304" i="68"/>
  <c r="B305" i="68"/>
  <c r="B306" i="68"/>
  <c r="B307" i="68"/>
  <c r="B308" i="68"/>
  <c r="B309" i="68"/>
  <c r="B310" i="68"/>
  <c r="B311" i="68"/>
  <c r="B312" i="68"/>
  <c r="B313" i="68"/>
  <c r="B314" i="68"/>
  <c r="B315" i="68"/>
  <c r="B316" i="68"/>
  <c r="B317" i="68"/>
  <c r="B318" i="68"/>
  <c r="B319" i="68"/>
  <c r="B320" i="68"/>
  <c r="B321" i="68"/>
  <c r="B322" i="68"/>
  <c r="B323" i="68"/>
  <c r="B324" i="68"/>
  <c r="B325" i="68"/>
  <c r="B326" i="68"/>
  <c r="B327" i="68"/>
  <c r="B328" i="68"/>
  <c r="B329" i="68"/>
  <c r="B330" i="68"/>
  <c r="B331" i="68"/>
  <c r="B332" i="68"/>
  <c r="B333" i="68"/>
  <c r="B334" i="68"/>
  <c r="B335" i="68"/>
  <c r="B336" i="68"/>
  <c r="B337" i="68"/>
  <c r="B338" i="68"/>
  <c r="B339" i="68"/>
  <c r="B340" i="68"/>
  <c r="B341" i="68"/>
  <c r="B342" i="68"/>
  <c r="B343" i="68"/>
  <c r="B344" i="68"/>
  <c r="B345" i="68"/>
  <c r="B346" i="68"/>
  <c r="B347" i="68"/>
  <c r="B348" i="68"/>
  <c r="B349" i="68"/>
  <c r="C349" i="68" s="1"/>
  <c r="C350" i="68" s="1"/>
  <c r="C351" i="68" s="1"/>
  <c r="C352" i="68" s="1"/>
  <c r="C353" i="68" s="1"/>
  <c r="C354" i="68" s="1"/>
  <c r="C355" i="68" s="1"/>
  <c r="C356" i="68" s="1"/>
  <c r="C357" i="68" s="1"/>
  <c r="C358" i="68" s="1"/>
  <c r="C359" i="68" s="1"/>
  <c r="C360" i="68" s="1"/>
  <c r="C361" i="68" s="1"/>
  <c r="C362" i="68" s="1"/>
  <c r="C363" i="68" s="1"/>
  <c r="C364" i="68" s="1"/>
  <c r="C365" i="68" s="1"/>
  <c r="C366" i="68" s="1"/>
  <c r="C367" i="68" s="1"/>
  <c r="C368" i="68" s="1"/>
  <c r="C369" i="68" s="1"/>
  <c r="C370" i="68" s="1"/>
  <c r="C371" i="68" s="1"/>
  <c r="C372" i="68" s="1"/>
  <c r="C373" i="68" s="1"/>
  <c r="C374" i="68" s="1"/>
  <c r="C375" i="68" s="1"/>
  <c r="C376" i="68" s="1"/>
  <c r="C377" i="68" s="1"/>
  <c r="B350" i="68"/>
  <c r="B351" i="68"/>
  <c r="H5" i="50"/>
  <c r="C3" i="52"/>
  <c r="K28" i="51"/>
  <c r="E10" i="49"/>
  <c r="E8" i="49"/>
  <c r="E7" i="49"/>
  <c r="E6" i="49"/>
  <c r="K22" i="49"/>
  <c r="K42" i="49"/>
  <c r="B827" i="75"/>
  <c r="E50" i="55"/>
  <c r="D50" i="55"/>
  <c r="C50" i="55"/>
  <c r="H37" i="55"/>
  <c r="H42" i="55"/>
  <c r="H50" i="55"/>
  <c r="K33" i="54"/>
  <c r="K37" i="49" s="1"/>
  <c r="K19" i="54"/>
  <c r="K22" i="51"/>
  <c r="H22" i="51"/>
  <c r="H19" i="51"/>
  <c r="H17" i="51"/>
  <c r="H14" i="51"/>
  <c r="H11" i="51"/>
  <c r="H9" i="51"/>
  <c r="H29" i="52"/>
  <c r="H33" i="52"/>
  <c r="K25" i="63"/>
  <c r="K28" i="49" s="1"/>
  <c r="H45" i="50" l="1"/>
  <c r="J45" i="50" s="1"/>
  <c r="K45" i="50" s="1"/>
  <c r="J11" i="77"/>
  <c r="J24" i="55"/>
  <c r="J31" i="54"/>
  <c r="J12" i="77"/>
  <c r="J47" i="54"/>
  <c r="J49" i="54" s="1"/>
  <c r="J48" i="54"/>
  <c r="J22" i="54"/>
  <c r="I4" i="77"/>
  <c r="G46" i="50"/>
  <c r="I6" i="80"/>
  <c r="I44" i="55"/>
  <c r="C378" i="68"/>
  <c r="C379" i="68" s="1"/>
  <c r="C380" i="68" s="1"/>
  <c r="C381" i="68" s="1"/>
  <c r="C382" i="68" s="1"/>
  <c r="C383" i="68" s="1"/>
  <c r="C384" i="68" s="1"/>
  <c r="C385" i="68" s="1"/>
  <c r="C386" i="68" s="1"/>
  <c r="C387" i="68" s="1"/>
  <c r="C388" i="68" s="1"/>
  <c r="C389" i="68" s="1"/>
  <c r="C390" i="68" s="1"/>
  <c r="C391" i="68" s="1"/>
  <c r="C392" i="68" s="1"/>
  <c r="C393" i="68" s="1"/>
  <c r="C394" i="68" s="1"/>
  <c r="C395" i="68" s="1"/>
  <c r="C396" i="68" s="1"/>
  <c r="C397" i="68" s="1"/>
  <c r="C398" i="68" s="1"/>
  <c r="C399" i="68" s="1"/>
  <c r="C400" i="68" s="1"/>
  <c r="C401" i="68" s="1"/>
  <c r="C402" i="68" s="1"/>
  <c r="C403" i="68" s="1"/>
  <c r="C404" i="68" s="1"/>
  <c r="C405" i="68" s="1"/>
  <c r="C406" i="68" s="1"/>
  <c r="C407" i="68" s="1"/>
  <c r="C408" i="68" s="1"/>
  <c r="C409" i="68" s="1"/>
  <c r="C410" i="68" s="1"/>
  <c r="C411" i="68" s="1"/>
  <c r="C412" i="68" s="1"/>
  <c r="C413" i="68" s="1"/>
  <c r="C414" i="68" s="1"/>
  <c r="C415" i="68" s="1"/>
  <c r="C416" i="68" s="1"/>
  <c r="C417" i="68" s="1"/>
  <c r="C418" i="68" s="1"/>
  <c r="C419" i="68" s="1"/>
  <c r="C420" i="68" s="1"/>
  <c r="C421" i="68" s="1"/>
  <c r="C422" i="68" s="1"/>
  <c r="C423" i="68" s="1"/>
  <c r="C424" i="68" s="1"/>
  <c r="C425" i="68" s="1"/>
  <c r="C426" i="68" s="1"/>
  <c r="C427" i="68" s="1"/>
  <c r="C428" i="68" s="1"/>
  <c r="C429" i="68" s="1"/>
  <c r="C430" i="68" s="1"/>
  <c r="C431" i="68" s="1"/>
  <c r="C432" i="68" s="1"/>
  <c r="C433" i="68" s="1"/>
  <c r="C434" i="68" s="1"/>
  <c r="C435" i="68" s="1"/>
  <c r="C436" i="68" s="1"/>
  <c r="C437" i="68" s="1"/>
  <c r="C438" i="68" s="1"/>
  <c r="C439" i="68" s="1"/>
  <c r="C440" i="68" s="1"/>
  <c r="C441" i="68" s="1"/>
  <c r="C442" i="68" s="1"/>
  <c r="C443" i="68" s="1"/>
  <c r="C444" i="68" s="1"/>
  <c r="C445" i="68" s="1"/>
  <c r="C446" i="68" s="1"/>
  <c r="C447" i="68" s="1"/>
  <c r="C448" i="68" s="1"/>
  <c r="C449" i="68" s="1"/>
  <c r="C450" i="68" s="1"/>
  <c r="C451" i="68" s="1"/>
  <c r="C452" i="68" s="1"/>
  <c r="C453" i="68" s="1"/>
  <c r="C454" i="68" s="1"/>
  <c r="C455" i="68" s="1"/>
  <c r="C456" i="68" s="1"/>
  <c r="C457" i="68" s="1"/>
  <c r="C458" i="68" s="1"/>
  <c r="C459" i="68" s="1"/>
  <c r="C460" i="68" s="1"/>
  <c r="C461" i="68" s="1"/>
  <c r="C462" i="68" s="1"/>
  <c r="C463" i="68" s="1"/>
  <c r="C464" i="68" s="1"/>
  <c r="C465" i="68" s="1"/>
  <c r="C466" i="68" s="1"/>
  <c r="C467" i="68" s="1"/>
  <c r="C468" i="68" s="1"/>
  <c r="C469" i="68" s="1"/>
  <c r="L62" i="49" s="1"/>
  <c r="D42" i="50"/>
  <c r="C42" i="50"/>
  <c r="K31" i="49"/>
  <c r="K30" i="49"/>
  <c r="K8" i="65"/>
  <c r="K15" i="49"/>
  <c r="K16" i="49"/>
  <c r="K6" i="85"/>
  <c r="M4" i="85"/>
  <c r="H4" i="85"/>
  <c r="K27" i="49"/>
  <c r="B151" i="68" l="1"/>
  <c r="B152" i="68"/>
  <c r="B131" i="68"/>
  <c r="B132" i="68"/>
  <c r="B133" i="68"/>
  <c r="B134" i="68"/>
  <c r="B135" i="68"/>
  <c r="I25" i="52" s="1"/>
  <c r="B136" i="68"/>
  <c r="B137" i="68"/>
  <c r="B138" i="68"/>
  <c r="B139" i="68"/>
  <c r="I12" i="52" s="1"/>
  <c r="B140" i="68"/>
  <c r="B141" i="68"/>
  <c r="I12" i="55" s="1"/>
  <c r="B142" i="68"/>
  <c r="I9" i="55" s="1"/>
  <c r="B143" i="68"/>
  <c r="I12" i="63" s="1"/>
  <c r="B144" i="68"/>
  <c r="I4" i="85" s="1"/>
  <c r="B145" i="68"/>
  <c r="B146" i="68"/>
  <c r="B147" i="68"/>
  <c r="B148" i="68"/>
  <c r="B149" i="68"/>
  <c r="B150" i="68"/>
  <c r="C2" i="68"/>
  <c r="C42" i="54"/>
  <c r="G9" i="50"/>
  <c r="I4" i="55"/>
  <c r="B4" i="68"/>
  <c r="B5" i="68"/>
  <c r="B6" i="68"/>
  <c r="B7" i="68"/>
  <c r="B8" i="68"/>
  <c r="B9" i="68"/>
  <c r="B10" i="68"/>
  <c r="B11" i="68"/>
  <c r="B12" i="68"/>
  <c r="B13" i="68"/>
  <c r="B14" i="68"/>
  <c r="B15" i="68"/>
  <c r="B16" i="68"/>
  <c r="B17" i="68"/>
  <c r="B18" i="68"/>
  <c r="B19" i="68"/>
  <c r="B20" i="68"/>
  <c r="B21" i="68"/>
  <c r="B22" i="68"/>
  <c r="B23" i="68"/>
  <c r="B24" i="68"/>
  <c r="B25" i="68"/>
  <c r="B26" i="68"/>
  <c r="B27" i="68"/>
  <c r="B28" i="68"/>
  <c r="I5" i="54" s="1"/>
  <c r="B29" i="68"/>
  <c r="B30" i="68"/>
  <c r="B31" i="68"/>
  <c r="B32" i="68"/>
  <c r="B33" i="68"/>
  <c r="B34" i="68"/>
  <c r="B35" i="68"/>
  <c r="B36" i="68"/>
  <c r="B37" i="68"/>
  <c r="B38" i="68"/>
  <c r="B39" i="68"/>
  <c r="B40" i="68"/>
  <c r="B41" i="68"/>
  <c r="B42" i="68"/>
  <c r="B43" i="68"/>
  <c r="B44" i="68"/>
  <c r="G5" i="50" s="1"/>
  <c r="B45" i="68"/>
  <c r="G6" i="50" s="1"/>
  <c r="B46" i="68"/>
  <c r="B47" i="68"/>
  <c r="B48" i="68"/>
  <c r="B49" i="68"/>
  <c r="B50" i="68"/>
  <c r="B51" i="68"/>
  <c r="I8" i="55" s="1"/>
  <c r="B52" i="68"/>
  <c r="B53" i="68"/>
  <c r="B54" i="68"/>
  <c r="B55" i="68"/>
  <c r="B56" i="68"/>
  <c r="B57" i="68"/>
  <c r="B58" i="68"/>
  <c r="B59" i="68"/>
  <c r="B60" i="68"/>
  <c r="B61" i="68"/>
  <c r="B62" i="68"/>
  <c r="B63" i="68"/>
  <c r="B64" i="68"/>
  <c r="B65" i="68"/>
  <c r="B66" i="68"/>
  <c r="B67" i="68"/>
  <c r="B68" i="68"/>
  <c r="B69" i="68"/>
  <c r="B70" i="68"/>
  <c r="B71" i="68"/>
  <c r="B72" i="68"/>
  <c r="B73" i="68"/>
  <c r="I7" i="63" s="1"/>
  <c r="B74" i="68"/>
  <c r="B75" i="68"/>
  <c r="B76" i="68"/>
  <c r="B77" i="68"/>
  <c r="B78" i="68"/>
  <c r="B79" i="68"/>
  <c r="B80" i="68"/>
  <c r="B81" i="68"/>
  <c r="B82" i="68"/>
  <c r="B83" i="68"/>
  <c r="B84" i="68"/>
  <c r="B85" i="68"/>
  <c r="I3" i="51" s="1"/>
  <c r="B86" i="68"/>
  <c r="B87" i="68"/>
  <c r="B88" i="68"/>
  <c r="B89" i="68"/>
  <c r="B90" i="68"/>
  <c r="B91" i="68"/>
  <c r="B92" i="68"/>
  <c r="G40" i="50" s="1"/>
  <c r="B93" i="68"/>
  <c r="B94" i="68"/>
  <c r="B95" i="68"/>
  <c r="B96" i="68"/>
  <c r="I10" i="54" s="1"/>
  <c r="B97" i="68"/>
  <c r="I11" i="54" s="1"/>
  <c r="B98" i="68"/>
  <c r="B99" i="68"/>
  <c r="B100" i="68"/>
  <c r="B101" i="68"/>
  <c r="B102" i="68"/>
  <c r="B103" i="68"/>
  <c r="B104" i="68"/>
  <c r="B105" i="68"/>
  <c r="B106" i="68"/>
  <c r="B107" i="68"/>
  <c r="B108" i="68"/>
  <c r="B109" i="68"/>
  <c r="B110" i="68"/>
  <c r="B111" i="68"/>
  <c r="B112" i="68"/>
  <c r="B113" i="68"/>
  <c r="B114" i="68"/>
  <c r="B115" i="68"/>
  <c r="B116" i="68"/>
  <c r="B117" i="68"/>
  <c r="B118" i="68"/>
  <c r="B119" i="68"/>
  <c r="B120" i="68"/>
  <c r="B121" i="68"/>
  <c r="B122" i="68"/>
  <c r="B123" i="68"/>
  <c r="B124" i="68"/>
  <c r="B125" i="68"/>
  <c r="B126" i="68"/>
  <c r="B127" i="68"/>
  <c r="B128" i="68"/>
  <c r="B129" i="68"/>
  <c r="B130" i="68"/>
  <c r="B3" i="68"/>
  <c r="B154" i="68"/>
  <c r="B155" i="68"/>
  <c r="B156" i="68"/>
  <c r="B157" i="68"/>
  <c r="I17" i="55" s="1"/>
  <c r="B158" i="68"/>
  <c r="I16" i="55" s="1"/>
  <c r="B159" i="68"/>
  <c r="B160" i="68"/>
  <c r="B153" i="68"/>
  <c r="F41" i="50"/>
  <c r="J19" i="63"/>
  <c r="I17" i="63"/>
  <c r="I11" i="63"/>
  <c r="K20" i="55"/>
  <c r="K40" i="49" s="1"/>
  <c r="H12" i="54"/>
  <c r="C3" i="62"/>
  <c r="I3" i="62"/>
  <c r="B358" i="75"/>
  <c r="B359" i="75"/>
  <c r="B360" i="75"/>
  <c r="B361" i="75"/>
  <c r="B362" i="75"/>
  <c r="B363" i="75"/>
  <c r="B364" i="75"/>
  <c r="B365" i="75"/>
  <c r="B366" i="75"/>
  <c r="B367" i="75"/>
  <c r="B368" i="75"/>
  <c r="B369" i="75"/>
  <c r="B370" i="75"/>
  <c r="B371" i="75"/>
  <c r="B372" i="75"/>
  <c r="B373" i="75"/>
  <c r="B374" i="75"/>
  <c r="B375" i="75"/>
  <c r="B376" i="75"/>
  <c r="B377" i="75"/>
  <c r="B378" i="75"/>
  <c r="B379" i="75"/>
  <c r="B380" i="75"/>
  <c r="B381" i="75"/>
  <c r="B382" i="75"/>
  <c r="B383" i="75"/>
  <c r="B384" i="75"/>
  <c r="B385" i="75"/>
  <c r="B386" i="75"/>
  <c r="B387" i="75"/>
  <c r="B388" i="75"/>
  <c r="B389" i="75"/>
  <c r="B390" i="75"/>
  <c r="B391" i="75"/>
  <c r="B392" i="75"/>
  <c r="B393" i="75"/>
  <c r="B394" i="75"/>
  <c r="B395" i="75"/>
  <c r="B396" i="75"/>
  <c r="B397" i="75"/>
  <c r="B398" i="75"/>
  <c r="B399" i="75"/>
  <c r="B400" i="75"/>
  <c r="B401" i="75"/>
  <c r="B402" i="75"/>
  <c r="B403" i="75"/>
  <c r="B404" i="75"/>
  <c r="B405" i="75"/>
  <c r="B406" i="75"/>
  <c r="B407" i="75"/>
  <c r="B408" i="75"/>
  <c r="B409" i="75"/>
  <c r="B410" i="75"/>
  <c r="B411" i="75"/>
  <c r="B412" i="75"/>
  <c r="B413" i="75"/>
  <c r="B414" i="75"/>
  <c r="B415" i="75"/>
  <c r="B416" i="75"/>
  <c r="B417" i="75"/>
  <c r="B418" i="75"/>
  <c r="B419" i="75"/>
  <c r="B420" i="75"/>
  <c r="B421" i="75"/>
  <c r="B422" i="75"/>
  <c r="B423" i="75"/>
  <c r="B424" i="75"/>
  <c r="B425" i="75"/>
  <c r="B426" i="75"/>
  <c r="B427" i="75"/>
  <c r="B428" i="75"/>
  <c r="B429" i="75"/>
  <c r="B430" i="75"/>
  <c r="B431" i="75"/>
  <c r="B432" i="75"/>
  <c r="B433" i="75"/>
  <c r="B434" i="75"/>
  <c r="B435" i="75"/>
  <c r="B436" i="75"/>
  <c r="B437" i="75"/>
  <c r="B438" i="75"/>
  <c r="B439" i="75"/>
  <c r="B440" i="75"/>
  <c r="B441" i="75"/>
  <c r="B442" i="75"/>
  <c r="B443" i="75"/>
  <c r="B444" i="75"/>
  <c r="B445" i="75"/>
  <c r="B446" i="75"/>
  <c r="B447" i="75"/>
  <c r="B448" i="75"/>
  <c r="B449" i="75"/>
  <c r="B450" i="75"/>
  <c r="B451" i="75"/>
  <c r="B452" i="75"/>
  <c r="B453" i="75"/>
  <c r="B454" i="75"/>
  <c r="B455" i="75"/>
  <c r="B456" i="75"/>
  <c r="B457" i="75"/>
  <c r="B458" i="75"/>
  <c r="B459" i="75"/>
  <c r="B460" i="75"/>
  <c r="B461" i="75"/>
  <c r="B462" i="75"/>
  <c r="B463" i="75"/>
  <c r="B464" i="75"/>
  <c r="B465" i="75"/>
  <c r="B466" i="75"/>
  <c r="B467" i="75"/>
  <c r="B468" i="75"/>
  <c r="B469" i="75"/>
  <c r="B470" i="75"/>
  <c r="B471" i="75"/>
  <c r="B472" i="75"/>
  <c r="B473" i="75"/>
  <c r="B474" i="75"/>
  <c r="B475" i="75"/>
  <c r="B476" i="75"/>
  <c r="B477" i="75"/>
  <c r="B478" i="75"/>
  <c r="B479" i="75"/>
  <c r="B480" i="75"/>
  <c r="B481" i="75"/>
  <c r="B482" i="75"/>
  <c r="B483" i="75"/>
  <c r="B484" i="75"/>
  <c r="B485" i="75"/>
  <c r="B486" i="75"/>
  <c r="B487" i="75"/>
  <c r="B488" i="75"/>
  <c r="B489" i="75"/>
  <c r="B490" i="75"/>
  <c r="B491" i="75"/>
  <c r="B492" i="75"/>
  <c r="B493" i="75"/>
  <c r="B494" i="75"/>
  <c r="B495" i="75"/>
  <c r="B496" i="75"/>
  <c r="B497" i="75"/>
  <c r="B498" i="75"/>
  <c r="B499" i="75"/>
  <c r="B500" i="75"/>
  <c r="B501" i="75"/>
  <c r="B502" i="75"/>
  <c r="B503" i="75"/>
  <c r="B504" i="75"/>
  <c r="B505" i="75"/>
  <c r="B506" i="75"/>
  <c r="B507" i="75"/>
  <c r="B508" i="75"/>
  <c r="B509" i="75"/>
  <c r="B510" i="75"/>
  <c r="B511" i="75"/>
  <c r="B512" i="75"/>
  <c r="B513" i="75"/>
  <c r="B514" i="75"/>
  <c r="B515" i="75"/>
  <c r="B516" i="75"/>
  <c r="B517" i="75"/>
  <c r="B518" i="75"/>
  <c r="B519" i="75"/>
  <c r="B520" i="75"/>
  <c r="B521" i="75"/>
  <c r="B522" i="75"/>
  <c r="B523" i="75"/>
  <c r="B524" i="75"/>
  <c r="B525" i="75"/>
  <c r="B526" i="75"/>
  <c r="B527" i="75"/>
  <c r="B528" i="75"/>
  <c r="B529" i="75"/>
  <c r="B530" i="75"/>
  <c r="B531" i="75"/>
  <c r="B532" i="75"/>
  <c r="B533" i="75"/>
  <c r="B534" i="75"/>
  <c r="B535" i="75"/>
  <c r="B536" i="75"/>
  <c r="B537" i="75"/>
  <c r="B538" i="75"/>
  <c r="B539" i="75"/>
  <c r="B540" i="75"/>
  <c r="B541" i="75"/>
  <c r="B542" i="75"/>
  <c r="B543" i="75"/>
  <c r="B544" i="75"/>
  <c r="B545" i="75"/>
  <c r="B546" i="75"/>
  <c r="B547" i="75"/>
  <c r="B548" i="75"/>
  <c r="B549" i="75"/>
  <c r="B550" i="75"/>
  <c r="B551" i="75"/>
  <c r="B552" i="75"/>
  <c r="B553" i="75"/>
  <c r="B554" i="75"/>
  <c r="B555" i="75"/>
  <c r="B556" i="75"/>
  <c r="B557" i="75"/>
  <c r="B558" i="75"/>
  <c r="B559" i="75"/>
  <c r="B560" i="75"/>
  <c r="B561" i="75"/>
  <c r="B562" i="75"/>
  <c r="B563" i="75"/>
  <c r="B564" i="75"/>
  <c r="B565" i="75"/>
  <c r="B566" i="75"/>
  <c r="H5" i="81" s="1"/>
  <c r="L63" i="49" s="1"/>
  <c r="L64" i="49" s="1"/>
  <c r="M71" i="49" s="1"/>
  <c r="B567" i="75"/>
  <c r="B568" i="75"/>
  <c r="B569" i="75"/>
  <c r="B570" i="75"/>
  <c r="B571" i="75"/>
  <c r="B572" i="75"/>
  <c r="B573" i="75"/>
  <c r="B574" i="75"/>
  <c r="B575" i="75"/>
  <c r="B576" i="75"/>
  <c r="B577" i="75"/>
  <c r="B578" i="75"/>
  <c r="B579" i="75"/>
  <c r="B580" i="75"/>
  <c r="B581" i="75"/>
  <c r="B582" i="75"/>
  <c r="B583" i="75"/>
  <c r="B584" i="75"/>
  <c r="B585" i="75"/>
  <c r="B586" i="75"/>
  <c r="B587" i="75"/>
  <c r="B588" i="75"/>
  <c r="B589" i="75"/>
  <c r="B590" i="75"/>
  <c r="B591" i="75"/>
  <c r="B592" i="75"/>
  <c r="B593" i="75"/>
  <c r="B594" i="75"/>
  <c r="B595" i="75"/>
  <c r="B596" i="75"/>
  <c r="B597" i="75"/>
  <c r="B598" i="75"/>
  <c r="B599" i="75"/>
  <c r="B600" i="75"/>
  <c r="B601" i="75"/>
  <c r="B602" i="75"/>
  <c r="B603" i="75"/>
  <c r="B604" i="75"/>
  <c r="B605" i="75"/>
  <c r="B606" i="75"/>
  <c r="B607" i="75"/>
  <c r="B608" i="75"/>
  <c r="B609" i="75"/>
  <c r="B610" i="75"/>
  <c r="B611" i="75"/>
  <c r="B612" i="75"/>
  <c r="B613" i="75"/>
  <c r="B614" i="75"/>
  <c r="B615" i="75"/>
  <c r="B616" i="75"/>
  <c r="B617" i="75"/>
  <c r="B618" i="75"/>
  <c r="B619" i="75"/>
  <c r="B620" i="75"/>
  <c r="B621" i="75"/>
  <c r="B622" i="75"/>
  <c r="B623" i="75"/>
  <c r="B624" i="75"/>
  <c r="B625" i="75"/>
  <c r="B626" i="75"/>
  <c r="B627" i="75"/>
  <c r="B628" i="75"/>
  <c r="B629" i="75"/>
  <c r="B630" i="75"/>
  <c r="B631" i="75"/>
  <c r="B632" i="75"/>
  <c r="B633" i="75"/>
  <c r="B634" i="75"/>
  <c r="B635" i="75"/>
  <c r="B636" i="75"/>
  <c r="B637" i="75"/>
  <c r="B638" i="75"/>
  <c r="B639" i="75"/>
  <c r="B640" i="75"/>
  <c r="B641" i="75"/>
  <c r="B642" i="75"/>
  <c r="B643" i="75"/>
  <c r="B644" i="75"/>
  <c r="B645" i="75"/>
  <c r="B646" i="75"/>
  <c r="B647" i="75"/>
  <c r="B648" i="75"/>
  <c r="B649" i="75"/>
  <c r="B650" i="75"/>
  <c r="B651" i="75"/>
  <c r="B652" i="75"/>
  <c r="B653" i="75"/>
  <c r="B654" i="75"/>
  <c r="B655" i="75"/>
  <c r="B656" i="75"/>
  <c r="B657" i="75"/>
  <c r="B658" i="75"/>
  <c r="B659" i="75"/>
  <c r="B660" i="75"/>
  <c r="B661" i="75"/>
  <c r="B662" i="75"/>
  <c r="B663" i="75"/>
  <c r="B664" i="75"/>
  <c r="B665" i="75"/>
  <c r="B666" i="75"/>
  <c r="B667" i="75"/>
  <c r="B668" i="75"/>
  <c r="B669" i="75"/>
  <c r="B670" i="75"/>
  <c r="B671" i="75"/>
  <c r="B672" i="75"/>
  <c r="B673" i="75"/>
  <c r="B674" i="75"/>
  <c r="B675" i="75"/>
  <c r="B676" i="75"/>
  <c r="B677" i="75"/>
  <c r="B678" i="75"/>
  <c r="B679" i="75"/>
  <c r="B680" i="75"/>
  <c r="B681" i="75"/>
  <c r="B682" i="75"/>
  <c r="B683" i="75"/>
  <c r="B684" i="75"/>
  <c r="B685" i="75"/>
  <c r="B686" i="75"/>
  <c r="B687" i="75"/>
  <c r="B688" i="75"/>
  <c r="B689" i="75"/>
  <c r="B690" i="75"/>
  <c r="B691" i="75"/>
  <c r="B692" i="75"/>
  <c r="B693" i="75"/>
  <c r="B694" i="75"/>
  <c r="B695" i="75"/>
  <c r="B696" i="75"/>
  <c r="B697" i="75"/>
  <c r="B698" i="75"/>
  <c r="B699" i="75"/>
  <c r="B700" i="75"/>
  <c r="B701" i="75"/>
  <c r="B702" i="75"/>
  <c r="B703" i="75"/>
  <c r="B704" i="75"/>
  <c r="B705" i="75"/>
  <c r="B706" i="75"/>
  <c r="B707" i="75"/>
  <c r="B708" i="75"/>
  <c r="B709" i="75"/>
  <c r="B710" i="75"/>
  <c r="B711" i="75"/>
  <c r="B712" i="75"/>
  <c r="B713" i="75"/>
  <c r="B714" i="75"/>
  <c r="B715" i="75"/>
  <c r="B716" i="75"/>
  <c r="B717" i="75"/>
  <c r="B718" i="75"/>
  <c r="B719" i="75"/>
  <c r="B720" i="75"/>
  <c r="B721" i="75"/>
  <c r="B722" i="75"/>
  <c r="B723" i="75"/>
  <c r="B724" i="75"/>
  <c r="B725" i="75"/>
  <c r="B726" i="75"/>
  <c r="B727" i="75"/>
  <c r="B728" i="75"/>
  <c r="B729" i="75"/>
  <c r="B730" i="75"/>
  <c r="B731" i="75"/>
  <c r="B732" i="75"/>
  <c r="B733" i="75"/>
  <c r="B734" i="75"/>
  <c r="B735" i="75"/>
  <c r="B736" i="75"/>
  <c r="B737" i="75"/>
  <c r="B738" i="75"/>
  <c r="B739" i="75"/>
  <c r="B740" i="75"/>
  <c r="B741" i="75"/>
  <c r="B742" i="75"/>
  <c r="B743" i="75"/>
  <c r="B744" i="75"/>
  <c r="B745" i="75"/>
  <c r="B746" i="75"/>
  <c r="B747" i="75"/>
  <c r="B748" i="75"/>
  <c r="B749" i="75"/>
  <c r="B750" i="75"/>
  <c r="B751" i="75"/>
  <c r="B752" i="75"/>
  <c r="B753" i="75"/>
  <c r="B754" i="75"/>
  <c r="B755" i="75"/>
  <c r="B756" i="75"/>
  <c r="B757" i="75"/>
  <c r="B758" i="75"/>
  <c r="B759" i="75"/>
  <c r="B760" i="75"/>
  <c r="B761" i="75"/>
  <c r="B762" i="75"/>
  <c r="B763" i="75"/>
  <c r="B764" i="75"/>
  <c r="B765" i="75"/>
  <c r="B766" i="75"/>
  <c r="J19" i="55" s="1"/>
  <c r="B767" i="75"/>
  <c r="B768" i="75"/>
  <c r="B769" i="75"/>
  <c r="B770" i="75"/>
  <c r="B771" i="75"/>
  <c r="B772" i="75"/>
  <c r="B773" i="75"/>
  <c r="B774" i="75"/>
  <c r="B775" i="75"/>
  <c r="B776" i="75"/>
  <c r="B777" i="75"/>
  <c r="B778" i="75"/>
  <c r="B779" i="75"/>
  <c r="B780" i="75"/>
  <c r="B781" i="75"/>
  <c r="B782" i="75"/>
  <c r="B783" i="75"/>
  <c r="B784" i="75"/>
  <c r="B785" i="75"/>
  <c r="B786" i="75"/>
  <c r="B787" i="75"/>
  <c r="B788" i="75"/>
  <c r="B789" i="75"/>
  <c r="B790" i="75"/>
  <c r="B791" i="75"/>
  <c r="B792" i="75"/>
  <c r="B793" i="75"/>
  <c r="B794" i="75"/>
  <c r="B795" i="75"/>
  <c r="B796" i="75"/>
  <c r="B797" i="75"/>
  <c r="B798" i="75"/>
  <c r="B799" i="75"/>
  <c r="B800" i="75"/>
  <c r="B801" i="75"/>
  <c r="B802" i="75"/>
  <c r="B803" i="75"/>
  <c r="B804" i="75"/>
  <c r="B805" i="75"/>
  <c r="B806" i="75"/>
  <c r="B807" i="75"/>
  <c r="B808" i="75"/>
  <c r="B809" i="75"/>
  <c r="B810" i="75"/>
  <c r="B811" i="75"/>
  <c r="B812" i="75"/>
  <c r="B813" i="75"/>
  <c r="B814" i="75"/>
  <c r="B815" i="75"/>
  <c r="B816" i="75"/>
  <c r="B817" i="75"/>
  <c r="B818" i="75"/>
  <c r="B819" i="75"/>
  <c r="B820" i="75"/>
  <c r="B821" i="75"/>
  <c r="B822" i="75"/>
  <c r="B823" i="75"/>
  <c r="B824" i="75"/>
  <c r="B825" i="75"/>
  <c r="B826" i="75"/>
  <c r="B828" i="75"/>
  <c r="B829" i="75"/>
  <c r="B830" i="75"/>
  <c r="B831" i="75"/>
  <c r="J28" i="63" s="1"/>
  <c r="B832" i="75"/>
  <c r="B833" i="75"/>
  <c r="B834" i="75"/>
  <c r="B835" i="75"/>
  <c r="B836" i="75"/>
  <c r="B837" i="75"/>
  <c r="B838" i="75"/>
  <c r="B839" i="75"/>
  <c r="B840" i="75"/>
  <c r="B841" i="75"/>
  <c r="B842" i="75"/>
  <c r="B843" i="75"/>
  <c r="B844" i="75"/>
  <c r="B845" i="75"/>
  <c r="B846" i="75"/>
  <c r="B847" i="75"/>
  <c r="B848" i="75"/>
  <c r="B849" i="75"/>
  <c r="B850" i="75"/>
  <c r="B851" i="75"/>
  <c r="B852" i="75"/>
  <c r="B853" i="75"/>
  <c r="B854" i="75"/>
  <c r="B855" i="75"/>
  <c r="B856" i="75"/>
  <c r="B857" i="75"/>
  <c r="B858" i="75"/>
  <c r="B859" i="75"/>
  <c r="B860" i="75"/>
  <c r="B861" i="75"/>
  <c r="B862" i="75"/>
  <c r="B863" i="75"/>
  <c r="B864" i="75"/>
  <c r="B865" i="75"/>
  <c r="B866" i="75"/>
  <c r="B867" i="75"/>
  <c r="B868" i="75"/>
  <c r="B869" i="75"/>
  <c r="B870" i="75"/>
  <c r="B871" i="75"/>
  <c r="B872" i="75"/>
  <c r="B873" i="75"/>
  <c r="B874" i="75"/>
  <c r="B875" i="75"/>
  <c r="B876" i="75"/>
  <c r="B877" i="75"/>
  <c r="B878" i="75"/>
  <c r="B879" i="75"/>
  <c r="B880" i="75"/>
  <c r="B881" i="75"/>
  <c r="B882" i="75"/>
  <c r="B883" i="75"/>
  <c r="B884" i="75"/>
  <c r="B885" i="75"/>
  <c r="B886" i="75"/>
  <c r="B887" i="75"/>
  <c r="B888" i="75"/>
  <c r="B889" i="75"/>
  <c r="B890" i="75"/>
  <c r="B891" i="75"/>
  <c r="B892" i="75"/>
  <c r="B893" i="75"/>
  <c r="B894" i="75"/>
  <c r="B895" i="75"/>
  <c r="B896" i="75"/>
  <c r="B897" i="75"/>
  <c r="B898" i="75"/>
  <c r="B899" i="75"/>
  <c r="B900" i="75"/>
  <c r="B901" i="75"/>
  <c r="B902" i="75"/>
  <c r="B903" i="75"/>
  <c r="B904" i="75"/>
  <c r="B905" i="75"/>
  <c r="B906" i="75"/>
  <c r="B907" i="75"/>
  <c r="B908" i="75"/>
  <c r="B909" i="75"/>
  <c r="B910" i="75"/>
  <c r="B911" i="75"/>
  <c r="B912" i="75"/>
  <c r="B913" i="75"/>
  <c r="B914" i="75"/>
  <c r="B915" i="75"/>
  <c r="B916" i="75"/>
  <c r="B917" i="75"/>
  <c r="B918" i="75"/>
  <c r="B919" i="75"/>
  <c r="B920" i="75"/>
  <c r="B921" i="75"/>
  <c r="B922" i="75"/>
  <c r="B923" i="75"/>
  <c r="B924" i="75"/>
  <c r="B925" i="75"/>
  <c r="B926" i="75"/>
  <c r="B927" i="75"/>
  <c r="B928" i="75"/>
  <c r="B929" i="75"/>
  <c r="B930" i="75"/>
  <c r="B931" i="75"/>
  <c r="B932" i="75"/>
  <c r="B933" i="75"/>
  <c r="B934" i="75"/>
  <c r="B935" i="75"/>
  <c r="B936" i="75"/>
  <c r="H41" i="50" s="1"/>
  <c r="B937" i="75"/>
  <c r="B938" i="75"/>
  <c r="B939" i="75"/>
  <c r="B940" i="75"/>
  <c r="B941" i="75"/>
  <c r="B942" i="75"/>
  <c r="B943" i="75"/>
  <c r="B944" i="75"/>
  <c r="B945" i="75"/>
  <c r="B946" i="75"/>
  <c r="B947" i="75"/>
  <c r="B948" i="75"/>
  <c r="B949" i="75"/>
  <c r="B950" i="75"/>
  <c r="B951" i="75"/>
  <c r="B952" i="75"/>
  <c r="B953" i="75"/>
  <c r="B954" i="75"/>
  <c r="B955" i="75"/>
  <c r="B956" i="75"/>
  <c r="B957" i="75"/>
  <c r="B958" i="75"/>
  <c r="B959" i="75"/>
  <c r="B960" i="75"/>
  <c r="B961" i="75"/>
  <c r="B962" i="75"/>
  <c r="B963" i="75"/>
  <c r="B964" i="75"/>
  <c r="B965" i="75"/>
  <c r="B966" i="75"/>
  <c r="B967" i="75"/>
  <c r="B968" i="75"/>
  <c r="B969" i="75"/>
  <c r="B970" i="75"/>
  <c r="B971" i="75"/>
  <c r="B972" i="75"/>
  <c r="B973" i="75"/>
  <c r="B974" i="75"/>
  <c r="B975" i="75"/>
  <c r="B976" i="75"/>
  <c r="B977" i="75"/>
  <c r="B978" i="75"/>
  <c r="B979" i="75"/>
  <c r="B980" i="75"/>
  <c r="B981" i="75"/>
  <c r="B982" i="75"/>
  <c r="B983" i="75"/>
  <c r="B984" i="75"/>
  <c r="B985" i="75"/>
  <c r="B986" i="75"/>
  <c r="B987" i="75"/>
  <c r="B988" i="75"/>
  <c r="B196" i="75"/>
  <c r="B197" i="75"/>
  <c r="B198" i="75"/>
  <c r="B199" i="75"/>
  <c r="B200" i="75"/>
  <c r="B201" i="75"/>
  <c r="B202" i="75"/>
  <c r="B203" i="75"/>
  <c r="B204" i="75"/>
  <c r="B205" i="75"/>
  <c r="B206" i="75"/>
  <c r="B207" i="75"/>
  <c r="B208" i="75"/>
  <c r="B209" i="75"/>
  <c r="B210" i="75"/>
  <c r="B211" i="75"/>
  <c r="B212" i="75"/>
  <c r="B213" i="75"/>
  <c r="B214" i="75"/>
  <c r="B215" i="75"/>
  <c r="B216" i="75"/>
  <c r="B217" i="75"/>
  <c r="B218" i="75"/>
  <c r="B219" i="75"/>
  <c r="B220" i="75"/>
  <c r="B221" i="75"/>
  <c r="B222" i="75"/>
  <c r="B223" i="75"/>
  <c r="B224" i="75"/>
  <c r="B225" i="75"/>
  <c r="B226" i="75"/>
  <c r="B227" i="75"/>
  <c r="B228" i="75"/>
  <c r="B229" i="75"/>
  <c r="B230" i="75"/>
  <c r="B231" i="75"/>
  <c r="B232" i="75"/>
  <c r="B233" i="75"/>
  <c r="B234" i="75"/>
  <c r="B235" i="75"/>
  <c r="B236" i="75"/>
  <c r="B237" i="75"/>
  <c r="B238" i="75"/>
  <c r="B239" i="75"/>
  <c r="B240" i="75"/>
  <c r="B241" i="75"/>
  <c r="B242" i="75"/>
  <c r="B243" i="75"/>
  <c r="B244" i="75"/>
  <c r="B245" i="75"/>
  <c r="B246" i="75"/>
  <c r="B247" i="75"/>
  <c r="B248" i="75"/>
  <c r="B249" i="75"/>
  <c r="B250" i="75"/>
  <c r="B251" i="75"/>
  <c r="B252" i="75"/>
  <c r="B253" i="75"/>
  <c r="B254" i="75"/>
  <c r="B255" i="75"/>
  <c r="B256" i="75"/>
  <c r="B257" i="75"/>
  <c r="B258" i="75"/>
  <c r="B259" i="75"/>
  <c r="B260" i="75"/>
  <c r="B261" i="75"/>
  <c r="B262" i="75"/>
  <c r="B263" i="75"/>
  <c r="B264" i="75"/>
  <c r="B265" i="75"/>
  <c r="B266" i="75"/>
  <c r="B267" i="75"/>
  <c r="B268" i="75"/>
  <c r="B269" i="75"/>
  <c r="B270" i="75"/>
  <c r="B271" i="75"/>
  <c r="B272" i="75"/>
  <c r="B273" i="75"/>
  <c r="B274" i="75"/>
  <c r="B275" i="75"/>
  <c r="B276" i="75"/>
  <c r="B277" i="75"/>
  <c r="B278" i="75"/>
  <c r="B279" i="75"/>
  <c r="B280" i="75"/>
  <c r="B281" i="75"/>
  <c r="B282" i="75"/>
  <c r="B283" i="75"/>
  <c r="B284" i="75"/>
  <c r="B285" i="75"/>
  <c r="B286" i="75"/>
  <c r="B287" i="75"/>
  <c r="B288" i="75"/>
  <c r="B289" i="75"/>
  <c r="B290" i="75"/>
  <c r="B291" i="75"/>
  <c r="B292" i="75"/>
  <c r="B293" i="75"/>
  <c r="B294" i="75"/>
  <c r="B295" i="75"/>
  <c r="B296" i="75"/>
  <c r="B297" i="75"/>
  <c r="B298" i="75"/>
  <c r="B299" i="75"/>
  <c r="B300" i="75"/>
  <c r="B301" i="75"/>
  <c r="B302" i="75"/>
  <c r="B303" i="75"/>
  <c r="B304" i="75"/>
  <c r="B305" i="75"/>
  <c r="B306" i="75"/>
  <c r="B307" i="75"/>
  <c r="B308" i="75"/>
  <c r="B309" i="75"/>
  <c r="B310" i="75"/>
  <c r="B311" i="75"/>
  <c r="B312" i="75"/>
  <c r="B313" i="75"/>
  <c r="B314" i="75"/>
  <c r="B315" i="75"/>
  <c r="B316" i="75"/>
  <c r="B317" i="75"/>
  <c r="B318" i="75"/>
  <c r="B319" i="75"/>
  <c r="B320" i="75"/>
  <c r="B321" i="75"/>
  <c r="B322" i="75"/>
  <c r="B323" i="75"/>
  <c r="B324" i="75"/>
  <c r="B325" i="75"/>
  <c r="B326" i="75"/>
  <c r="B327" i="75"/>
  <c r="B328" i="75"/>
  <c r="B329" i="75"/>
  <c r="B330" i="75"/>
  <c r="B331" i="75"/>
  <c r="B332" i="75"/>
  <c r="B333" i="75"/>
  <c r="B334" i="75"/>
  <c r="B335" i="75"/>
  <c r="B336" i="75"/>
  <c r="B337" i="75"/>
  <c r="B338" i="75"/>
  <c r="B339" i="75"/>
  <c r="B340" i="75"/>
  <c r="B341" i="75"/>
  <c r="B342" i="75"/>
  <c r="B343" i="75"/>
  <c r="B344" i="75"/>
  <c r="B345" i="75"/>
  <c r="B346" i="75"/>
  <c r="B347" i="75"/>
  <c r="B348" i="75"/>
  <c r="B349" i="75"/>
  <c r="B350" i="75"/>
  <c r="B351" i="75"/>
  <c r="B352" i="75"/>
  <c r="B353" i="75"/>
  <c r="B354" i="75"/>
  <c r="B355" i="75"/>
  <c r="B356" i="75"/>
  <c r="B357" i="75"/>
  <c r="B3" i="75"/>
  <c r="B4" i="75"/>
  <c r="B5" i="75"/>
  <c r="B6" i="75"/>
  <c r="B7" i="75"/>
  <c r="B8" i="75"/>
  <c r="B9" i="75"/>
  <c r="B10" i="75"/>
  <c r="B11" i="75"/>
  <c r="B12" i="75"/>
  <c r="B13" i="75"/>
  <c r="B14" i="75"/>
  <c r="B15" i="75"/>
  <c r="B16" i="75"/>
  <c r="B17" i="75"/>
  <c r="B18" i="75"/>
  <c r="B19" i="75"/>
  <c r="B20" i="75"/>
  <c r="B21" i="75"/>
  <c r="B22" i="75"/>
  <c r="B23" i="75"/>
  <c r="B24" i="75"/>
  <c r="B25" i="75"/>
  <c r="B26" i="75"/>
  <c r="B27" i="75"/>
  <c r="B28" i="75"/>
  <c r="B29" i="75"/>
  <c r="B30" i="75"/>
  <c r="B31" i="75"/>
  <c r="B32" i="75"/>
  <c r="B33" i="75"/>
  <c r="B34" i="75"/>
  <c r="B35" i="75"/>
  <c r="B36" i="75"/>
  <c r="B37" i="75"/>
  <c r="B38" i="75"/>
  <c r="B39" i="75"/>
  <c r="B40" i="75"/>
  <c r="B41" i="75"/>
  <c r="B42" i="75"/>
  <c r="B43" i="75"/>
  <c r="B44" i="75"/>
  <c r="B45" i="75"/>
  <c r="B46" i="75"/>
  <c r="B47" i="75"/>
  <c r="B48" i="75"/>
  <c r="B49" i="75"/>
  <c r="B50" i="75"/>
  <c r="B51" i="75"/>
  <c r="B52" i="75"/>
  <c r="B53" i="75"/>
  <c r="B54" i="75"/>
  <c r="B55" i="75"/>
  <c r="B56" i="75"/>
  <c r="B57" i="75"/>
  <c r="B58" i="75"/>
  <c r="B59" i="75"/>
  <c r="B60" i="75"/>
  <c r="B61" i="75"/>
  <c r="B62" i="75"/>
  <c r="B63" i="75"/>
  <c r="B64" i="75"/>
  <c r="B65" i="75"/>
  <c r="B66" i="75"/>
  <c r="H23" i="50" s="1"/>
  <c r="B67" i="75"/>
  <c r="B68" i="75"/>
  <c r="B69" i="75"/>
  <c r="B70" i="75"/>
  <c r="B71" i="75"/>
  <c r="B72" i="75"/>
  <c r="B73" i="75"/>
  <c r="B74" i="75"/>
  <c r="B75" i="75"/>
  <c r="B76" i="75"/>
  <c r="B77" i="75"/>
  <c r="B78" i="75"/>
  <c r="B79" i="75"/>
  <c r="B80" i="75"/>
  <c r="B81" i="75"/>
  <c r="B82" i="75"/>
  <c r="B83" i="75"/>
  <c r="B84" i="75"/>
  <c r="B85" i="75"/>
  <c r="B86" i="75"/>
  <c r="B87" i="75"/>
  <c r="B88" i="75"/>
  <c r="B89" i="75"/>
  <c r="B90" i="75"/>
  <c r="B91" i="75"/>
  <c r="B92" i="75"/>
  <c r="B93" i="75"/>
  <c r="B94" i="75"/>
  <c r="B95" i="75"/>
  <c r="B96" i="75"/>
  <c r="B97" i="75"/>
  <c r="B98" i="75"/>
  <c r="B99" i="75"/>
  <c r="B100" i="75"/>
  <c r="B101" i="75"/>
  <c r="B102" i="75"/>
  <c r="B103" i="75"/>
  <c r="B104" i="75"/>
  <c r="B105" i="75"/>
  <c r="B106" i="75"/>
  <c r="B107" i="75"/>
  <c r="B108" i="75"/>
  <c r="B109" i="75"/>
  <c r="B110" i="75"/>
  <c r="B111" i="75"/>
  <c r="B112" i="75"/>
  <c r="B113" i="75"/>
  <c r="B114" i="75"/>
  <c r="B115" i="75"/>
  <c r="B116" i="75"/>
  <c r="B117" i="75"/>
  <c r="B118" i="75"/>
  <c r="B119" i="75"/>
  <c r="B120" i="75"/>
  <c r="B121" i="75"/>
  <c r="B122" i="75"/>
  <c r="B123" i="75"/>
  <c r="B124" i="75"/>
  <c r="B125" i="75"/>
  <c r="B126" i="75"/>
  <c r="B127" i="75"/>
  <c r="B128" i="75"/>
  <c r="B129" i="75"/>
  <c r="B130" i="75"/>
  <c r="B131" i="75"/>
  <c r="B132" i="75"/>
  <c r="B133" i="75"/>
  <c r="B134" i="75"/>
  <c r="B135" i="75"/>
  <c r="B136" i="75"/>
  <c r="B137" i="75"/>
  <c r="B138" i="75"/>
  <c r="B139" i="75"/>
  <c r="B140" i="75"/>
  <c r="B141" i="75"/>
  <c r="B142" i="75"/>
  <c r="B143" i="75"/>
  <c r="B144" i="75"/>
  <c r="B145" i="75"/>
  <c r="B146" i="75"/>
  <c r="B147" i="75"/>
  <c r="B148" i="75"/>
  <c r="B149" i="75"/>
  <c r="B150" i="75"/>
  <c r="B151" i="75"/>
  <c r="B152" i="75"/>
  <c r="B153" i="75"/>
  <c r="B154" i="75"/>
  <c r="B155" i="75"/>
  <c r="B156" i="75"/>
  <c r="B157" i="75"/>
  <c r="B158" i="75"/>
  <c r="B159" i="75"/>
  <c r="B160" i="75"/>
  <c r="B161" i="75"/>
  <c r="B162" i="75"/>
  <c r="B163" i="75"/>
  <c r="B164" i="75"/>
  <c r="B165" i="75"/>
  <c r="B166" i="75"/>
  <c r="B167" i="75"/>
  <c r="B168" i="75"/>
  <c r="B169" i="75"/>
  <c r="B170" i="75"/>
  <c r="B171" i="75"/>
  <c r="B172" i="75"/>
  <c r="B173" i="75"/>
  <c r="B174" i="75"/>
  <c r="B175" i="75"/>
  <c r="B176" i="75"/>
  <c r="B177" i="75"/>
  <c r="B178" i="75"/>
  <c r="B179" i="75"/>
  <c r="B180" i="75"/>
  <c r="B181" i="75"/>
  <c r="B182" i="75"/>
  <c r="B183" i="75"/>
  <c r="B184" i="75"/>
  <c r="B185" i="75"/>
  <c r="B186" i="75"/>
  <c r="B187" i="75"/>
  <c r="B188" i="75"/>
  <c r="B189" i="75"/>
  <c r="B190" i="75"/>
  <c r="B191" i="75"/>
  <c r="B192" i="75"/>
  <c r="B193" i="75"/>
  <c r="B194" i="75"/>
  <c r="B195" i="75"/>
  <c r="J34" i="62" l="1"/>
  <c r="J23" i="63"/>
  <c r="J23" i="55"/>
  <c r="J35" i="62"/>
  <c r="J18" i="63"/>
  <c r="J9" i="63"/>
  <c r="H38" i="50"/>
  <c r="J14" i="63"/>
  <c r="H40" i="50"/>
  <c r="J11" i="59"/>
  <c r="J8" i="63"/>
  <c r="J14" i="54"/>
  <c r="J27" i="63"/>
  <c r="J18" i="55"/>
  <c r="J6" i="55"/>
  <c r="J28" i="52"/>
  <c r="J19" i="62"/>
  <c r="J18" i="62"/>
  <c r="J13" i="54"/>
  <c r="J13" i="63"/>
  <c r="J27" i="52"/>
  <c r="J5" i="55"/>
  <c r="J14" i="55"/>
  <c r="I9" i="54"/>
  <c r="C3" i="68"/>
  <c r="C4" i="68" s="1"/>
  <c r="C5" i="68" s="1"/>
  <c r="I3" i="63"/>
  <c r="L12" i="54"/>
  <c r="M12" i="54" s="1"/>
  <c r="C6" i="68"/>
  <c r="C7" i="68" s="1"/>
  <c r="C8" i="68" s="1"/>
  <c r="C9" i="68" s="1"/>
  <c r="C10" i="68" s="1"/>
  <c r="C11" i="68" s="1"/>
  <c r="C12" i="68" s="1"/>
  <c r="C13" i="68" s="1"/>
  <c r="C14" i="68" s="1"/>
  <c r="C15" i="68" s="1"/>
  <c r="C16" i="68" s="1"/>
  <c r="C17" i="68" s="1"/>
  <c r="C18" i="68" s="1"/>
  <c r="C19" i="68" s="1"/>
  <c r="C20" i="68" s="1"/>
  <c r="C21" i="68" s="1"/>
  <c r="C22" i="68" s="1"/>
  <c r="C23" i="68" s="1"/>
  <c r="C24" i="68" s="1"/>
  <c r="C25" i="68" s="1"/>
  <c r="C26" i="68" s="1"/>
  <c r="C27" i="68" s="1"/>
  <c r="C28" i="68" s="1"/>
  <c r="C29" i="68" s="1"/>
  <c r="C30" i="68" s="1"/>
  <c r="C31" i="68" s="1"/>
  <c r="C32" i="68" s="1"/>
  <c r="C33" i="68" s="1"/>
  <c r="C34" i="68" s="1"/>
  <c r="C35" i="68" s="1"/>
  <c r="C36" i="68" s="1"/>
  <c r="C37" i="68" s="1"/>
  <c r="C38" i="68" s="1"/>
  <c r="C39" i="68" s="1"/>
  <c r="C40" i="68" s="1"/>
  <c r="C41" i="68" s="1"/>
  <c r="C42" i="68" s="1"/>
  <c r="C43" i="68" s="1"/>
  <c r="C44" i="68" s="1"/>
  <c r="C45" i="68" s="1"/>
  <c r="C46" i="68" s="1"/>
  <c r="C47" i="68" s="1"/>
  <c r="C48" i="68" s="1"/>
  <c r="C49" i="68" s="1"/>
  <c r="C50" i="68" s="1"/>
  <c r="C51" i="68" s="1"/>
  <c r="C52" i="68" s="1"/>
  <c r="C53" i="68" s="1"/>
  <c r="C54" i="68" s="1"/>
  <c r="C55" i="68" s="1"/>
  <c r="C56" i="68" s="1"/>
  <c r="C57" i="68" s="1"/>
  <c r="C58" i="68" s="1"/>
  <c r="C59" i="68" s="1"/>
  <c r="C60" i="68" s="1"/>
  <c r="C61" i="68" s="1"/>
  <c r="C62" i="68" s="1"/>
  <c r="C63" i="68" s="1"/>
  <c r="C64" i="68" s="1"/>
  <c r="C65" i="68" s="1"/>
  <c r="C66" i="68" s="1"/>
  <c r="C67" i="68" s="1"/>
  <c r="C68" i="68" s="1"/>
  <c r="C69" i="68" s="1"/>
  <c r="C70" i="68" s="1"/>
  <c r="C71" i="68" s="1"/>
  <c r="C72" i="68" s="1"/>
  <c r="C73" i="68" s="1"/>
  <c r="C74" i="68" s="1"/>
  <c r="C75" i="68" s="1"/>
  <c r="C76" i="68" s="1"/>
  <c r="C77" i="68" s="1"/>
  <c r="C78" i="68" s="1"/>
  <c r="C79" i="68" s="1"/>
  <c r="C80" i="68" s="1"/>
  <c r="C81" i="68" s="1"/>
  <c r="C82" i="68" s="1"/>
  <c r="C83" i="68" s="1"/>
  <c r="C84" i="68" s="1"/>
  <c r="C85" i="68" s="1"/>
  <c r="C86" i="68" s="1"/>
  <c r="C87" i="68" s="1"/>
  <c r="C88" i="68" s="1"/>
  <c r="C89" i="68" s="1"/>
  <c r="C90" i="68" s="1"/>
  <c r="C91" i="68" s="1"/>
  <c r="C92" i="68" s="1"/>
  <c r="C93" i="68" s="1"/>
  <c r="C94" i="68" s="1"/>
  <c r="C95" i="68" s="1"/>
  <c r="C96" i="68" s="1"/>
  <c r="C97" i="68" s="1"/>
  <c r="C98" i="68" s="1"/>
  <c r="C99" i="68" s="1"/>
  <c r="C100" i="68" s="1"/>
  <c r="C101" i="68" s="1"/>
  <c r="C102" i="68" s="1"/>
  <c r="C103" i="68" s="1"/>
  <c r="C104" i="68" s="1"/>
  <c r="C105" i="68" s="1"/>
  <c r="C106" i="68" s="1"/>
  <c r="C107" i="68" s="1"/>
  <c r="C108" i="68" s="1"/>
  <c r="C109" i="68" s="1"/>
  <c r="C110" i="68" s="1"/>
  <c r="C111" i="68" s="1"/>
  <c r="C112" i="68" s="1"/>
  <c r="C113" i="68" s="1"/>
  <c r="C114" i="68" s="1"/>
  <c r="C115" i="68" s="1"/>
  <c r="C116" i="68" s="1"/>
  <c r="C117" i="68" s="1"/>
  <c r="C118" i="68" s="1"/>
  <c r="C119" i="68" s="1"/>
  <c r="C120" i="68" s="1"/>
  <c r="C121" i="68" s="1"/>
  <c r="C122" i="68" s="1"/>
  <c r="C123" i="68" s="1"/>
  <c r="C124" i="68" s="1"/>
  <c r="C125" i="68" s="1"/>
  <c r="C126" i="68" s="1"/>
  <c r="C127" i="68" s="1"/>
  <c r="C128" i="68" s="1"/>
  <c r="C129" i="68" s="1"/>
  <c r="C130" i="68" s="1"/>
  <c r="I14" i="62"/>
  <c r="I15" i="62"/>
  <c r="I18" i="62"/>
  <c r="J13" i="55"/>
  <c r="I15" i="52"/>
  <c r="J41" i="50"/>
  <c r="K41" i="50" s="1"/>
  <c r="C16" i="55"/>
  <c r="C16" i="54"/>
  <c r="C3" i="63"/>
  <c r="C11" i="63"/>
  <c r="H42" i="50"/>
  <c r="G42" i="50"/>
  <c r="F16" i="55"/>
  <c r="J16" i="55"/>
  <c r="F42" i="50"/>
  <c r="F40" i="50"/>
  <c r="L5" i="54"/>
  <c r="M5" i="54" s="1"/>
  <c r="I4" i="54"/>
  <c r="H5" i="54"/>
  <c r="J15" i="54" l="1"/>
  <c r="I15" i="54"/>
  <c r="C131" i="68"/>
  <c r="C132" i="68" s="1"/>
  <c r="C133" i="68" s="1"/>
  <c r="C134" i="68" s="1"/>
  <c r="C135" i="68" s="1"/>
  <c r="C136" i="68" s="1"/>
  <c r="C137" i="68" s="1"/>
  <c r="C138" i="68" s="1"/>
  <c r="C139" i="68" s="1"/>
  <c r="C140" i="68" s="1"/>
  <c r="C141" i="68" s="1"/>
  <c r="C142" i="68" s="1"/>
  <c r="C143" i="68" s="1"/>
  <c r="C144" i="68" s="1"/>
  <c r="C145" i="68" s="1"/>
  <c r="C146" i="68" s="1"/>
  <c r="C147" i="68" s="1"/>
  <c r="C148" i="68" s="1"/>
  <c r="C149" i="68" s="1"/>
  <c r="C150" i="68" s="1"/>
  <c r="C151" i="68" s="1"/>
  <c r="C152" i="68" s="1"/>
  <c r="C153" i="68" s="1"/>
  <c r="C154" i="68" s="1"/>
  <c r="C155" i="68" s="1"/>
  <c r="C156" i="68" s="1"/>
  <c r="C157" i="68" s="1"/>
  <c r="C158" i="68" s="1"/>
  <c r="C159" i="68" s="1"/>
  <c r="C160" i="68" s="1"/>
  <c r="J40" i="50"/>
  <c r="K40" i="50" s="1"/>
  <c r="J42" i="50"/>
  <c r="K42" i="50" s="1"/>
  <c r="L16" i="55"/>
  <c r="H16" i="55"/>
  <c r="D24" i="54"/>
  <c r="C161" i="68" l="1"/>
  <c r="C162" i="68" s="1"/>
  <c r="C163" i="68" s="1"/>
  <c r="C164" i="68" s="1"/>
  <c r="C165" i="68" s="1"/>
  <c r="C166" i="68" s="1"/>
  <c r="C167" i="68" s="1"/>
  <c r="C168" i="68" s="1"/>
  <c r="C169" i="68" s="1"/>
  <c r="C170" i="68" s="1"/>
  <c r="C171" i="68" s="1"/>
  <c r="C172" i="68" s="1"/>
  <c r="C173" i="68" s="1"/>
  <c r="C174" i="68" s="1"/>
  <c r="C175" i="68" s="1"/>
  <c r="C176" i="68" s="1"/>
  <c r="C177" i="68" s="1"/>
  <c r="C178" i="68" s="1"/>
  <c r="C179" i="68" s="1"/>
  <c r="C180" i="68" s="1"/>
  <c r="C181" i="68" s="1"/>
  <c r="C182" i="68" s="1"/>
  <c r="C183" i="68" s="1"/>
  <c r="C184" i="68" s="1"/>
  <c r="C185" i="68" s="1"/>
  <c r="C186" i="68" s="1"/>
  <c r="C187" i="68" s="1"/>
  <c r="C188" i="68" s="1"/>
  <c r="C189" i="68" s="1"/>
  <c r="C190" i="68" s="1"/>
  <c r="C191" i="68" s="1"/>
  <c r="C192" i="68" s="1"/>
  <c r="C193" i="68" s="1"/>
  <c r="C194" i="68" s="1"/>
  <c r="C195" i="68" s="1"/>
  <c r="C196" i="68" s="1"/>
  <c r="C197" i="68" s="1"/>
  <c r="C198" i="68" s="1"/>
  <c r="C199" i="68" s="1"/>
  <c r="C200" i="68" s="1"/>
  <c r="C201" i="68" s="1"/>
  <c r="C202" i="68" s="1"/>
  <c r="C203" i="68" s="1"/>
  <c r="C204" i="68" s="1"/>
  <c r="C205" i="68" s="1"/>
  <c r="C206" i="68" s="1"/>
  <c r="C207" i="68" s="1"/>
  <c r="C208" i="68" s="1"/>
  <c r="C209" i="68" s="1"/>
  <c r="C210" i="68" s="1"/>
  <c r="C211" i="68" s="1"/>
  <c r="C212" i="68" s="1"/>
  <c r="C213" i="68" s="1"/>
  <c r="C214" i="68" s="1"/>
  <c r="C215" i="68" s="1"/>
  <c r="C216" i="68" s="1"/>
  <c r="C217" i="68" s="1"/>
  <c r="C218" i="68" s="1"/>
  <c r="C219" i="68" s="1"/>
  <c r="C220" i="68" s="1"/>
  <c r="C221" i="68" s="1"/>
  <c r="C222" i="68" s="1"/>
  <c r="C223" i="68" s="1"/>
  <c r="C224" i="68" s="1"/>
  <c r="C225" i="68" s="1"/>
  <c r="C226" i="68" s="1"/>
  <c r="C227" i="68" s="1"/>
  <c r="C228" i="68" s="1"/>
  <c r="C229" i="68" s="1"/>
  <c r="C230" i="68" s="1"/>
  <c r="C231" i="68" s="1"/>
  <c r="C232" i="68" s="1"/>
  <c r="C233" i="68" s="1"/>
  <c r="C234" i="68" s="1"/>
  <c r="C235" i="68" s="1"/>
  <c r="C236" i="68" s="1"/>
  <c r="C237" i="68" s="1"/>
  <c r="C238" i="68" s="1"/>
  <c r="C239" i="68" s="1"/>
  <c r="C240" i="68" s="1"/>
  <c r="C241" i="68" s="1"/>
  <c r="C242" i="68" s="1"/>
  <c r="C243" i="68" s="1"/>
  <c r="C244" i="68" s="1"/>
  <c r="C245" i="68" s="1"/>
  <c r="C246" i="68" s="1"/>
  <c r="C247" i="68" s="1"/>
  <c r="C248" i="68" s="1"/>
  <c r="C249" i="68" s="1"/>
  <c r="C250" i="68" s="1"/>
  <c r="C251" i="68" s="1"/>
  <c r="C252" i="68" s="1"/>
  <c r="C253" i="68" s="1"/>
  <c r="C254" i="68" s="1"/>
  <c r="C255" i="68" s="1"/>
  <c r="C256" i="68" s="1"/>
  <c r="C257" i="68" s="1"/>
  <c r="C258" i="68" s="1"/>
  <c r="C259" i="68" s="1"/>
  <c r="C260" i="68" s="1"/>
  <c r="C261" i="68" s="1"/>
  <c r="C262" i="68" s="1"/>
  <c r="C263" i="68" s="1"/>
  <c r="C264" i="68" s="1"/>
  <c r="C265" i="68" s="1"/>
  <c r="C266" i="68" s="1"/>
  <c r="C267" i="68" s="1"/>
  <c r="C268" i="68" s="1"/>
  <c r="C269" i="68" s="1"/>
  <c r="C270" i="68" s="1"/>
  <c r="C271" i="68" s="1"/>
  <c r="C272" i="68" s="1"/>
  <c r="C273" i="68" s="1"/>
  <c r="C274" i="68" s="1"/>
  <c r="C275" i="68" s="1"/>
  <c r="C276" i="68" s="1"/>
  <c r="C277" i="68" s="1"/>
  <c r="C278" i="68" s="1"/>
  <c r="C279" i="68" s="1"/>
  <c r="C280" i="68" s="1"/>
  <c r="C281" i="68" s="1"/>
  <c r="C282" i="68" s="1"/>
  <c r="C283" i="68" s="1"/>
  <c r="C284" i="68" s="1"/>
  <c r="C285" i="68" s="1"/>
  <c r="C286" i="68" s="1"/>
  <c r="C287" i="68" s="1"/>
  <c r="C288" i="68" s="1"/>
  <c r="C289" i="68" s="1"/>
  <c r="C290" i="68" s="1"/>
  <c r="C291" i="68" s="1"/>
  <c r="C292" i="68" s="1"/>
  <c r="C293" i="68" s="1"/>
  <c r="C294" i="68" s="1"/>
  <c r="C295" i="68" s="1"/>
  <c r="C296" i="68" s="1"/>
  <c r="C297" i="68" s="1"/>
  <c r="C298" i="68" s="1"/>
  <c r="C299" i="68" s="1"/>
  <c r="C300" i="68" s="1"/>
  <c r="C301" i="68" s="1"/>
  <c r="C302" i="68" s="1"/>
  <c r="C303" i="68" s="1"/>
  <c r="C304" i="68" s="1"/>
  <c r="C305" i="68" s="1"/>
  <c r="C306" i="68" s="1"/>
  <c r="C307" i="68" s="1"/>
  <c r="C308" i="68" s="1"/>
  <c r="C309" i="68" s="1"/>
  <c r="C310" i="68" s="1"/>
  <c r="C311" i="68" s="1"/>
  <c r="C312" i="68" s="1"/>
  <c r="C313" i="68" s="1"/>
  <c r="C314" i="68" s="1"/>
  <c r="C315" i="68" s="1"/>
  <c r="C316" i="68" s="1"/>
  <c r="C317" i="68" s="1"/>
  <c r="C318" i="68" s="1"/>
  <c r="C319" i="68" s="1"/>
  <c r="C320" i="68" s="1"/>
  <c r="C321" i="68" s="1"/>
  <c r="C322" i="68" s="1"/>
  <c r="C323" i="68" s="1"/>
  <c r="C324" i="68" s="1"/>
  <c r="C325" i="68" s="1"/>
  <c r="C326" i="68" s="1"/>
  <c r="C327" i="68" s="1"/>
  <c r="C328" i="68" s="1"/>
  <c r="C329" i="68" s="1"/>
  <c r="C330" i="68" s="1"/>
  <c r="C331" i="68" s="1"/>
  <c r="C332" i="68" s="1"/>
  <c r="C333" i="68" s="1"/>
  <c r="C334" i="68" s="1"/>
  <c r="C335" i="68" s="1"/>
  <c r="C336" i="68" s="1"/>
  <c r="C337" i="68" s="1"/>
  <c r="C338" i="68" s="1"/>
  <c r="C339" i="68" s="1"/>
  <c r="C340" i="68" s="1"/>
  <c r="C341" i="68" s="1"/>
  <c r="C342" i="68" s="1"/>
  <c r="C343" i="68" s="1"/>
  <c r="C344" i="68" s="1"/>
  <c r="C345" i="68" s="1"/>
  <c r="C346" i="68" s="1"/>
  <c r="C347" i="68" s="1"/>
  <c r="C348" i="68" s="1"/>
  <c r="M16" i="55"/>
  <c r="K36" i="63"/>
  <c r="K40" i="63"/>
  <c r="K47" i="63"/>
  <c r="K32" i="49" s="1"/>
  <c r="K55" i="63"/>
  <c r="J54" i="63"/>
  <c r="J53" i="63"/>
  <c r="J52" i="63"/>
  <c r="J51" i="63"/>
  <c r="J50" i="63"/>
  <c r="J49" i="63"/>
  <c r="J48" i="63"/>
  <c r="J44" i="63"/>
  <c r="J43" i="63"/>
  <c r="J42" i="63"/>
  <c r="J41" i="63"/>
  <c r="J39" i="63"/>
  <c r="J38" i="63"/>
  <c r="J37" i="63"/>
  <c r="J33" i="63"/>
  <c r="J32" i="63"/>
  <c r="J31" i="63"/>
  <c r="J30" i="63"/>
  <c r="J3" i="63"/>
  <c r="J4" i="63"/>
  <c r="J5" i="63"/>
  <c r="J7" i="63"/>
  <c r="J11" i="63"/>
  <c r="J12" i="63"/>
  <c r="J16" i="63"/>
  <c r="J17" i="63"/>
  <c r="J22" i="63"/>
  <c r="J21" i="63"/>
  <c r="J26" i="63"/>
  <c r="J29" i="63" s="1"/>
  <c r="I54" i="63"/>
  <c r="I53" i="63"/>
  <c r="I52" i="63"/>
  <c r="I51" i="63"/>
  <c r="I50" i="63"/>
  <c r="I48" i="63"/>
  <c r="I46" i="63"/>
  <c r="I45" i="63"/>
  <c r="I44" i="63"/>
  <c r="I39" i="63"/>
  <c r="I38" i="63"/>
  <c r="I37" i="63"/>
  <c r="I35" i="63"/>
  <c r="I34" i="63"/>
  <c r="I33" i="63"/>
  <c r="I32" i="63"/>
  <c r="I28" i="63"/>
  <c r="I27" i="63"/>
  <c r="I24" i="63"/>
  <c r="I23" i="63"/>
  <c r="I19" i="63"/>
  <c r="I18" i="63"/>
  <c r="I14" i="63"/>
  <c r="I13" i="63"/>
  <c r="I9" i="63"/>
  <c r="I8" i="63"/>
  <c r="I4" i="63"/>
  <c r="K50" i="55"/>
  <c r="K43" i="49" s="1"/>
  <c r="K42" i="55"/>
  <c r="K25" i="55"/>
  <c r="J51" i="55"/>
  <c r="J52" i="55" s="1"/>
  <c r="J49" i="55"/>
  <c r="J48" i="55"/>
  <c r="J47" i="55"/>
  <c r="J46" i="55"/>
  <c r="J45" i="55"/>
  <c r="J44" i="55"/>
  <c r="J43" i="55"/>
  <c r="J41" i="55"/>
  <c r="J40" i="55"/>
  <c r="J39" i="55"/>
  <c r="J38" i="55"/>
  <c r="J34" i="55"/>
  <c r="J33" i="55"/>
  <c r="J37" i="55" s="1"/>
  <c r="J8" i="55"/>
  <c r="J9" i="55"/>
  <c r="J10" i="55"/>
  <c r="J11" i="55"/>
  <c r="J12" i="55"/>
  <c r="J17" i="55"/>
  <c r="J20" i="55" s="1"/>
  <c r="J40" i="49" s="1"/>
  <c r="J22" i="55"/>
  <c r="J26" i="55"/>
  <c r="J27" i="55"/>
  <c r="J28" i="55"/>
  <c r="J29" i="55"/>
  <c r="L29" i="55" s="1"/>
  <c r="I49" i="55"/>
  <c r="I48" i="55"/>
  <c r="I47" i="55"/>
  <c r="I46" i="55"/>
  <c r="I45" i="55"/>
  <c r="I43" i="55"/>
  <c r="I41" i="55"/>
  <c r="I40" i="55"/>
  <c r="I39" i="55"/>
  <c r="I38" i="55"/>
  <c r="I36" i="55"/>
  <c r="I35" i="55"/>
  <c r="I11" i="55"/>
  <c r="I10" i="55"/>
  <c r="I18" i="55"/>
  <c r="I19" i="55"/>
  <c r="I24" i="55"/>
  <c r="I27" i="55"/>
  <c r="K19" i="51"/>
  <c r="K17" i="51"/>
  <c r="K14" i="51"/>
  <c r="J14" i="51"/>
  <c r="J25" i="51"/>
  <c r="J27" i="51"/>
  <c r="J26" i="51"/>
  <c r="J24" i="51"/>
  <c r="J23" i="51"/>
  <c r="J21" i="51"/>
  <c r="J20" i="51"/>
  <c r="J18" i="51"/>
  <c r="J19" i="51" s="1"/>
  <c r="J8" i="49" s="1"/>
  <c r="J16" i="51"/>
  <c r="J15" i="51"/>
  <c r="J5" i="51"/>
  <c r="I18" i="51"/>
  <c r="I23" i="51"/>
  <c r="I21" i="51"/>
  <c r="I16" i="51"/>
  <c r="I15" i="51"/>
  <c r="I12" i="51"/>
  <c r="I10" i="51"/>
  <c r="L10" i="51" s="1"/>
  <c r="L11" i="51" s="1"/>
  <c r="I6" i="51"/>
  <c r="I5" i="51"/>
  <c r="I4" i="51"/>
  <c r="J33" i="62"/>
  <c r="J32" i="62"/>
  <c r="J31" i="62"/>
  <c r="J29" i="62"/>
  <c r="J28" i="62"/>
  <c r="J24" i="62"/>
  <c r="J23" i="62"/>
  <c r="J22" i="62"/>
  <c r="J9" i="62"/>
  <c r="J10" i="62"/>
  <c r="J14" i="62"/>
  <c r="J15" i="62"/>
  <c r="J16" i="62"/>
  <c r="J17" i="62"/>
  <c r="J20" i="62"/>
  <c r="J8" i="62"/>
  <c r="J3" i="62"/>
  <c r="J4" i="62"/>
  <c r="J6" i="62"/>
  <c r="J5" i="62"/>
  <c r="I6" i="62"/>
  <c r="I5" i="62"/>
  <c r="I4" i="62"/>
  <c r="I35" i="62"/>
  <c r="I34" i="62"/>
  <c r="I32" i="62"/>
  <c r="I29" i="62"/>
  <c r="I26" i="62"/>
  <c r="I25" i="62"/>
  <c r="I24" i="62"/>
  <c r="I22" i="62"/>
  <c r="I20" i="62"/>
  <c r="I19" i="62"/>
  <c r="I17" i="62"/>
  <c r="I16" i="62"/>
  <c r="I12" i="62"/>
  <c r="I11" i="62"/>
  <c r="C27" i="62"/>
  <c r="C22" i="49" s="1"/>
  <c r="K41" i="52"/>
  <c r="K18" i="49" s="1"/>
  <c r="K37" i="52"/>
  <c r="K33" i="52"/>
  <c r="I31" i="52"/>
  <c r="J31" i="52"/>
  <c r="J38" i="52"/>
  <c r="J36" i="52"/>
  <c r="J35" i="52"/>
  <c r="J34" i="52"/>
  <c r="J32" i="52"/>
  <c r="J30" i="52"/>
  <c r="J26" i="52"/>
  <c r="J29" i="52" s="1"/>
  <c r="J16" i="49" s="1"/>
  <c r="I40" i="52"/>
  <c r="I39" i="52"/>
  <c r="I36" i="52"/>
  <c r="I35" i="52"/>
  <c r="I32" i="52"/>
  <c r="I26" i="52"/>
  <c r="I29" i="52" s="1"/>
  <c r="I18" i="52"/>
  <c r="I17" i="52"/>
  <c r="I14" i="52"/>
  <c r="L12" i="52"/>
  <c r="L11" i="52"/>
  <c r="H39" i="50"/>
  <c r="H5" i="77"/>
  <c r="G25" i="55"/>
  <c r="G20" i="55"/>
  <c r="G40" i="49" s="1"/>
  <c r="C7" i="62"/>
  <c r="F38" i="50"/>
  <c r="L43" i="54"/>
  <c r="I36" i="54"/>
  <c r="L36" i="54" s="1"/>
  <c r="I37" i="54"/>
  <c r="L37" i="54" s="1"/>
  <c r="I38" i="54"/>
  <c r="L38" i="54" s="1"/>
  <c r="L10" i="54"/>
  <c r="L11" i="54"/>
  <c r="L28" i="54"/>
  <c r="L29" i="54"/>
  <c r="I30" i="54"/>
  <c r="L30" i="54" s="1"/>
  <c r="C12" i="59"/>
  <c r="C13" i="77"/>
  <c r="C50" i="49" s="1"/>
  <c r="G55" i="63"/>
  <c r="G29" i="63"/>
  <c r="G31" i="55"/>
  <c r="G41" i="49" s="1"/>
  <c r="E8" i="65"/>
  <c r="H22" i="63"/>
  <c r="H22" i="55"/>
  <c r="F39" i="50"/>
  <c r="B2" i="75"/>
  <c r="J6" i="54" s="1"/>
  <c r="D13" i="77"/>
  <c r="D42" i="49"/>
  <c r="D33" i="54"/>
  <c r="D37" i="49" s="1"/>
  <c r="D7" i="49"/>
  <c r="D6" i="49"/>
  <c r="C31" i="55"/>
  <c r="C41" i="49" s="1"/>
  <c r="G30" i="49"/>
  <c r="E26" i="49"/>
  <c r="E25" i="49"/>
  <c r="E24" i="49"/>
  <c r="F6" i="49"/>
  <c r="F7" i="49"/>
  <c r="C29" i="63"/>
  <c r="C29" i="49" s="1"/>
  <c r="C6" i="49"/>
  <c r="H26" i="55"/>
  <c r="F24" i="55"/>
  <c r="H24" i="55" s="1"/>
  <c r="F23" i="55"/>
  <c r="D25" i="55"/>
  <c r="C25" i="55"/>
  <c r="G25" i="63"/>
  <c r="G28" i="49" s="1"/>
  <c r="F24" i="63"/>
  <c r="H24" i="63" s="1"/>
  <c r="F23" i="63"/>
  <c r="H23" i="63" s="1"/>
  <c r="D25" i="63"/>
  <c r="D28" i="49" s="1"/>
  <c r="C25" i="63"/>
  <c r="C28" i="49" s="1"/>
  <c r="H26" i="63"/>
  <c r="F37" i="54"/>
  <c r="H37" i="54" s="1"/>
  <c r="F38" i="54"/>
  <c r="H36" i="54"/>
  <c r="F30" i="54"/>
  <c r="H30" i="54" s="1"/>
  <c r="H28" i="54"/>
  <c r="H29" i="54"/>
  <c r="H11" i="54"/>
  <c r="F6" i="54"/>
  <c r="H6" i="54" s="1"/>
  <c r="H51" i="55"/>
  <c r="H52" i="55" s="1"/>
  <c r="C52" i="55"/>
  <c r="C44" i="49" s="1"/>
  <c r="H44" i="55"/>
  <c r="H45" i="55"/>
  <c r="H43" i="55"/>
  <c r="G50" i="55"/>
  <c r="G43" i="49" s="1"/>
  <c r="F47" i="55"/>
  <c r="H47" i="55" s="1"/>
  <c r="F48" i="55"/>
  <c r="H48" i="55" s="1"/>
  <c r="F49" i="55"/>
  <c r="H49" i="55" s="1"/>
  <c r="F46" i="55"/>
  <c r="C43" i="49"/>
  <c r="F42" i="55"/>
  <c r="F42" i="49" s="1"/>
  <c r="G42" i="55"/>
  <c r="G42" i="49" s="1"/>
  <c r="H39" i="55"/>
  <c r="H40" i="55"/>
  <c r="H41" i="55"/>
  <c r="H38" i="55"/>
  <c r="C42" i="55"/>
  <c r="C42" i="49" s="1"/>
  <c r="H33" i="55"/>
  <c r="H34" i="55"/>
  <c r="F36" i="55"/>
  <c r="H36" i="55" s="1"/>
  <c r="F35" i="55"/>
  <c r="H35" i="55" s="1"/>
  <c r="H27" i="55"/>
  <c r="H28" i="55"/>
  <c r="C20" i="55"/>
  <c r="C40" i="49" s="1"/>
  <c r="D20" i="55"/>
  <c r="D40" i="49" s="1"/>
  <c r="H17" i="55"/>
  <c r="F19" i="55"/>
  <c r="H19" i="55" s="1"/>
  <c r="F18" i="55"/>
  <c r="H18" i="55" s="1"/>
  <c r="H10" i="55"/>
  <c r="H11" i="55"/>
  <c r="H12" i="55"/>
  <c r="F6" i="55"/>
  <c r="H6" i="55" s="1"/>
  <c r="H49" i="63"/>
  <c r="H50" i="63"/>
  <c r="H48" i="63"/>
  <c r="F52" i="63"/>
  <c r="H52" i="63" s="1"/>
  <c r="F53" i="63"/>
  <c r="H53" i="63" s="1"/>
  <c r="F54" i="63"/>
  <c r="H54" i="63" s="1"/>
  <c r="F51" i="63"/>
  <c r="H51" i="63" s="1"/>
  <c r="D55" i="63"/>
  <c r="C55" i="63"/>
  <c r="G47" i="63"/>
  <c r="G32" i="49" s="1"/>
  <c r="D47" i="63"/>
  <c r="D32" i="49" s="1"/>
  <c r="C47" i="63"/>
  <c r="C32" i="49" s="1"/>
  <c r="H42" i="63"/>
  <c r="H43" i="63"/>
  <c r="H44" i="63"/>
  <c r="H41" i="63"/>
  <c r="F46" i="63"/>
  <c r="H46" i="63" s="1"/>
  <c r="F45" i="63"/>
  <c r="D40" i="63"/>
  <c r="D31" i="49" s="1"/>
  <c r="C40" i="63"/>
  <c r="C31" i="49" s="1"/>
  <c r="G40" i="63"/>
  <c r="G31" i="49" s="1"/>
  <c r="H37" i="63"/>
  <c r="F39" i="63"/>
  <c r="H39" i="63" s="1"/>
  <c r="F38" i="63"/>
  <c r="H31" i="63"/>
  <c r="H32" i="63"/>
  <c r="H33" i="63"/>
  <c r="H30" i="63"/>
  <c r="D36" i="63"/>
  <c r="D30" i="49" s="1"/>
  <c r="F35" i="63"/>
  <c r="H35" i="63" s="1"/>
  <c r="F34" i="63"/>
  <c r="H34" i="63" s="1"/>
  <c r="C36" i="63"/>
  <c r="C30" i="49" s="1"/>
  <c r="F14" i="63"/>
  <c r="H14" i="63" s="1"/>
  <c r="F13" i="63"/>
  <c r="H13" i="63" s="1"/>
  <c r="H4" i="63"/>
  <c r="G28" i="51"/>
  <c r="G10" i="49" s="1"/>
  <c r="C28" i="51"/>
  <c r="H16" i="51"/>
  <c r="H15" i="51"/>
  <c r="H18" i="51"/>
  <c r="G19" i="51"/>
  <c r="G8" i="49" s="1"/>
  <c r="F19" i="51"/>
  <c r="F8" i="49" s="1"/>
  <c r="E19" i="51"/>
  <c r="D19" i="51"/>
  <c r="D8" i="49" s="1"/>
  <c r="D17" i="51"/>
  <c r="E17" i="51"/>
  <c r="F17" i="51"/>
  <c r="G17" i="51"/>
  <c r="G7" i="49" s="1"/>
  <c r="H23" i="51"/>
  <c r="C22" i="51"/>
  <c r="C9" i="49" s="1"/>
  <c r="D22" i="51"/>
  <c r="D9" i="49" s="1"/>
  <c r="G22" i="51"/>
  <c r="G9" i="49" s="1"/>
  <c r="H20" i="51"/>
  <c r="F21" i="51"/>
  <c r="H21" i="51" s="1"/>
  <c r="C19" i="51"/>
  <c r="C8" i="49" s="1"/>
  <c r="C17" i="51"/>
  <c r="C7" i="49" s="1"/>
  <c r="G14" i="51"/>
  <c r="G6" i="49" s="1"/>
  <c r="E14" i="51"/>
  <c r="H13" i="51"/>
  <c r="D13" i="51"/>
  <c r="D14" i="51" s="1"/>
  <c r="C14" i="51"/>
  <c r="H32" i="62"/>
  <c r="H23" i="62"/>
  <c r="H24" i="62"/>
  <c r="H15" i="62"/>
  <c r="H16" i="62"/>
  <c r="H17" i="62"/>
  <c r="H18" i="62"/>
  <c r="F20" i="62"/>
  <c r="F19" i="62"/>
  <c r="H19" i="62" s="1"/>
  <c r="F12" i="62"/>
  <c r="H12" i="62" s="1"/>
  <c r="F11" i="62"/>
  <c r="H4" i="62"/>
  <c r="F13" i="52"/>
  <c r="G41" i="52"/>
  <c r="G18" i="49" s="1"/>
  <c r="H38" i="52"/>
  <c r="E41" i="52"/>
  <c r="D41" i="52"/>
  <c r="C41" i="52"/>
  <c r="C18" i="49" s="1"/>
  <c r="F40" i="52"/>
  <c r="H40" i="52" s="1"/>
  <c r="F39" i="52"/>
  <c r="H39" i="52" s="1"/>
  <c r="H34" i="52"/>
  <c r="G37" i="52"/>
  <c r="E37" i="52"/>
  <c r="D37" i="52"/>
  <c r="F36" i="52"/>
  <c r="H36" i="52" s="1"/>
  <c r="F35" i="52"/>
  <c r="H35" i="52" s="1"/>
  <c r="C37" i="52"/>
  <c r="C17" i="49" s="1"/>
  <c r="G33" i="52"/>
  <c r="D33" i="52"/>
  <c r="C33" i="52"/>
  <c r="F32" i="52"/>
  <c r="H32" i="52" s="1"/>
  <c r="F31" i="52"/>
  <c r="H31" i="52" s="1"/>
  <c r="H30" i="52"/>
  <c r="I21" i="52"/>
  <c r="H21" i="52"/>
  <c r="M21" i="52" s="1"/>
  <c r="F27" i="52"/>
  <c r="H26" i="52"/>
  <c r="F18" i="52"/>
  <c r="F17" i="52"/>
  <c r="H17" i="52" s="1"/>
  <c r="F18" i="54"/>
  <c r="H18" i="54" s="1"/>
  <c r="F17" i="54"/>
  <c r="H17" i="54" s="1"/>
  <c r="F7" i="54"/>
  <c r="H7" i="54" s="1"/>
  <c r="F43" i="50"/>
  <c r="F44" i="50"/>
  <c r="F14" i="55"/>
  <c r="H14" i="55" s="1"/>
  <c r="F13" i="55"/>
  <c r="H13" i="55" s="1"/>
  <c r="F5" i="55"/>
  <c r="H5" i="55" s="1"/>
  <c r="H33" i="62"/>
  <c r="H31" i="62"/>
  <c r="D21" i="62"/>
  <c r="D21" i="49" s="1"/>
  <c r="C4" i="80"/>
  <c r="L5" i="80"/>
  <c r="L6" i="80"/>
  <c r="L7" i="80"/>
  <c r="M7" i="80" s="1"/>
  <c r="L4" i="80"/>
  <c r="H4" i="80"/>
  <c r="H5" i="80"/>
  <c r="H6" i="80"/>
  <c r="H7" i="80"/>
  <c r="I20" i="52"/>
  <c r="L20" i="52" s="1"/>
  <c r="L25" i="52"/>
  <c r="L9" i="59"/>
  <c r="H43" i="54"/>
  <c r="H32" i="55"/>
  <c r="I32" i="55"/>
  <c r="D37" i="55"/>
  <c r="E37" i="55"/>
  <c r="F37" i="55"/>
  <c r="G37" i="55"/>
  <c r="C37" i="55"/>
  <c r="B801" i="91"/>
  <c r="B800" i="91"/>
  <c r="B799" i="91"/>
  <c r="B798" i="91"/>
  <c r="B797" i="91"/>
  <c r="B796" i="91"/>
  <c r="B795" i="91"/>
  <c r="B794" i="91"/>
  <c r="B793" i="91"/>
  <c r="B792" i="91"/>
  <c r="B791" i="91"/>
  <c r="B790" i="91"/>
  <c r="B789" i="91"/>
  <c r="B788" i="91"/>
  <c r="B787" i="91"/>
  <c r="B786" i="91"/>
  <c r="B785" i="91"/>
  <c r="B784" i="91"/>
  <c r="B783" i="91"/>
  <c r="B782" i="91"/>
  <c r="B781" i="91"/>
  <c r="B780" i="91"/>
  <c r="B779" i="91"/>
  <c r="B778" i="91"/>
  <c r="B777" i="91"/>
  <c r="B776" i="91"/>
  <c r="B775" i="91"/>
  <c r="B774" i="91"/>
  <c r="B773" i="91"/>
  <c r="B772" i="91"/>
  <c r="B771" i="91"/>
  <c r="B770" i="91"/>
  <c r="B769" i="91"/>
  <c r="B768" i="91"/>
  <c r="B767" i="91"/>
  <c r="B766" i="91"/>
  <c r="B765" i="91"/>
  <c r="B764" i="91"/>
  <c r="B763" i="91"/>
  <c r="B762" i="91"/>
  <c r="B761" i="91"/>
  <c r="B760" i="91"/>
  <c r="B759" i="91"/>
  <c r="B758" i="91"/>
  <c r="B757" i="91"/>
  <c r="B756" i="91"/>
  <c r="B755" i="91"/>
  <c r="B754" i="91"/>
  <c r="B753" i="91"/>
  <c r="B752" i="91"/>
  <c r="B751" i="91"/>
  <c r="B750" i="91"/>
  <c r="B749" i="91"/>
  <c r="B748" i="91"/>
  <c r="B747" i="91"/>
  <c r="B746" i="91"/>
  <c r="B745" i="91"/>
  <c r="B744" i="91"/>
  <c r="B743" i="91"/>
  <c r="B742" i="91"/>
  <c r="B741" i="91"/>
  <c r="B740" i="91"/>
  <c r="B739" i="91"/>
  <c r="B738" i="91"/>
  <c r="B737" i="91"/>
  <c r="B736" i="91"/>
  <c r="B735" i="91"/>
  <c r="B734" i="91"/>
  <c r="B733" i="91"/>
  <c r="B732" i="91"/>
  <c r="B731" i="91"/>
  <c r="B730" i="91"/>
  <c r="B729" i="91"/>
  <c r="B728" i="91"/>
  <c r="B727" i="91"/>
  <c r="B726" i="91"/>
  <c r="B725" i="91"/>
  <c r="B724" i="91"/>
  <c r="B723" i="91"/>
  <c r="B722" i="91"/>
  <c r="B721" i="91"/>
  <c r="B720" i="91"/>
  <c r="B719" i="91"/>
  <c r="B718" i="91"/>
  <c r="B717" i="91"/>
  <c r="B716" i="91"/>
  <c r="B715" i="91"/>
  <c r="B714" i="91"/>
  <c r="B713" i="91"/>
  <c r="B712" i="91"/>
  <c r="B711" i="91"/>
  <c r="B710" i="91"/>
  <c r="B709" i="91"/>
  <c r="B708" i="91"/>
  <c r="B707" i="91"/>
  <c r="B706" i="91"/>
  <c r="B705" i="91"/>
  <c r="B704" i="91"/>
  <c r="B703" i="91"/>
  <c r="B702" i="91"/>
  <c r="B701" i="91"/>
  <c r="B700" i="91"/>
  <c r="B699" i="91"/>
  <c r="B698" i="91"/>
  <c r="B697" i="91"/>
  <c r="B696" i="91"/>
  <c r="B695" i="91"/>
  <c r="B694" i="91"/>
  <c r="B693" i="91"/>
  <c r="B692" i="91"/>
  <c r="B691" i="91"/>
  <c r="B690" i="91"/>
  <c r="B689" i="91"/>
  <c r="B688" i="91"/>
  <c r="B687" i="91"/>
  <c r="B686" i="91"/>
  <c r="B685" i="91"/>
  <c r="B684" i="91"/>
  <c r="B683" i="91"/>
  <c r="B682" i="91"/>
  <c r="B681" i="91"/>
  <c r="B680" i="91"/>
  <c r="B679" i="91"/>
  <c r="B678" i="91"/>
  <c r="B677" i="91"/>
  <c r="B676" i="91"/>
  <c r="B675" i="91"/>
  <c r="B674" i="91"/>
  <c r="B673" i="91"/>
  <c r="B672" i="91"/>
  <c r="B671" i="91"/>
  <c r="B670" i="91"/>
  <c r="B669" i="91"/>
  <c r="B668" i="91"/>
  <c r="B667" i="91"/>
  <c r="B666" i="91"/>
  <c r="B665" i="91"/>
  <c r="B664" i="91"/>
  <c r="B663" i="91"/>
  <c r="B662" i="91"/>
  <c r="B661" i="91"/>
  <c r="B660" i="91"/>
  <c r="B659" i="91"/>
  <c r="B658" i="91"/>
  <c r="B657" i="91"/>
  <c r="B656" i="91"/>
  <c r="B655" i="91"/>
  <c r="B654" i="91"/>
  <c r="B653" i="91"/>
  <c r="B652" i="91"/>
  <c r="B651" i="91"/>
  <c r="B650" i="91"/>
  <c r="B649" i="91"/>
  <c r="B648" i="91"/>
  <c r="B647" i="91"/>
  <c r="B646" i="91"/>
  <c r="B645" i="91"/>
  <c r="B644" i="91"/>
  <c r="B643" i="91"/>
  <c r="B642" i="91"/>
  <c r="B641" i="91"/>
  <c r="B640" i="91"/>
  <c r="B639" i="91"/>
  <c r="B638" i="91"/>
  <c r="B637" i="91"/>
  <c r="B636" i="91"/>
  <c r="B635" i="91"/>
  <c r="B634" i="91"/>
  <c r="B633" i="91"/>
  <c r="B632" i="91"/>
  <c r="B631" i="91"/>
  <c r="B630" i="91"/>
  <c r="B629" i="91"/>
  <c r="B628" i="91"/>
  <c r="B627" i="91"/>
  <c r="B626" i="91"/>
  <c r="B625" i="91"/>
  <c r="B624" i="91"/>
  <c r="B623" i="91"/>
  <c r="B622" i="91"/>
  <c r="B621" i="91"/>
  <c r="B620" i="91"/>
  <c r="B619" i="91"/>
  <c r="B618" i="91"/>
  <c r="B617" i="91"/>
  <c r="B616" i="91"/>
  <c r="B615" i="91"/>
  <c r="B614" i="91"/>
  <c r="B613" i="91"/>
  <c r="B612" i="91"/>
  <c r="B611" i="91"/>
  <c r="B610" i="91"/>
  <c r="B609" i="91"/>
  <c r="B608" i="91"/>
  <c r="B607" i="91"/>
  <c r="B606" i="91"/>
  <c r="B605" i="91"/>
  <c r="B604" i="91"/>
  <c r="B603" i="91"/>
  <c r="B602" i="91"/>
  <c r="B601" i="91"/>
  <c r="B600" i="91"/>
  <c r="B599" i="91"/>
  <c r="B598" i="91"/>
  <c r="B597" i="91"/>
  <c r="B596" i="91"/>
  <c r="B595" i="91"/>
  <c r="B594" i="91"/>
  <c r="B593" i="91"/>
  <c r="B592" i="91"/>
  <c r="B591" i="91"/>
  <c r="B590" i="91"/>
  <c r="B589" i="91"/>
  <c r="B588" i="91"/>
  <c r="B587" i="91"/>
  <c r="B586" i="91"/>
  <c r="B585" i="91"/>
  <c r="B584" i="91"/>
  <c r="B583" i="91"/>
  <c r="B582" i="91"/>
  <c r="B581" i="91"/>
  <c r="B580" i="91"/>
  <c r="B579" i="91"/>
  <c r="B578" i="91"/>
  <c r="B577" i="91"/>
  <c r="B576" i="91"/>
  <c r="B575" i="91"/>
  <c r="B574" i="91"/>
  <c r="B573" i="91"/>
  <c r="B572" i="91"/>
  <c r="B571" i="91"/>
  <c r="B570" i="91"/>
  <c r="B569" i="91"/>
  <c r="B568" i="91"/>
  <c r="B567" i="91"/>
  <c r="B566" i="91"/>
  <c r="B565" i="91"/>
  <c r="B564" i="91"/>
  <c r="B563" i="91"/>
  <c r="B562" i="91"/>
  <c r="B561" i="91"/>
  <c r="B560" i="91"/>
  <c r="B559" i="91"/>
  <c r="B558" i="91"/>
  <c r="B557" i="91"/>
  <c r="B556" i="91"/>
  <c r="B555" i="91"/>
  <c r="B554" i="91"/>
  <c r="B553" i="91"/>
  <c r="B552" i="91"/>
  <c r="B551" i="91"/>
  <c r="B550" i="91"/>
  <c r="B549" i="91"/>
  <c r="B548" i="91"/>
  <c r="B547" i="91"/>
  <c r="B546" i="91"/>
  <c r="B545" i="91"/>
  <c r="B544" i="91"/>
  <c r="B543" i="91"/>
  <c r="B542" i="91"/>
  <c r="B541" i="91"/>
  <c r="B540" i="91"/>
  <c r="B539" i="91"/>
  <c r="B538" i="91"/>
  <c r="B537" i="91"/>
  <c r="B536" i="91"/>
  <c r="B535" i="91"/>
  <c r="B534" i="91"/>
  <c r="B533" i="91"/>
  <c r="B532" i="91"/>
  <c r="B531" i="91"/>
  <c r="B530" i="91"/>
  <c r="B529" i="91"/>
  <c r="B528" i="91"/>
  <c r="B527" i="91"/>
  <c r="B526" i="91"/>
  <c r="B525" i="91"/>
  <c r="B524" i="91"/>
  <c r="B523" i="91"/>
  <c r="B522" i="91"/>
  <c r="B521" i="91"/>
  <c r="B520" i="91"/>
  <c r="B519" i="91"/>
  <c r="B518" i="91"/>
  <c r="B517" i="91"/>
  <c r="B516" i="91"/>
  <c r="B515" i="91"/>
  <c r="B514" i="91"/>
  <c r="B513" i="91"/>
  <c r="B512" i="91"/>
  <c r="B511" i="91"/>
  <c r="B510" i="91"/>
  <c r="B509" i="91"/>
  <c r="B508" i="91"/>
  <c r="B507" i="91"/>
  <c r="B506" i="91"/>
  <c r="B505" i="91"/>
  <c r="B504" i="91"/>
  <c r="B503" i="91"/>
  <c r="B502" i="91"/>
  <c r="B501" i="91"/>
  <c r="B500" i="91"/>
  <c r="B499" i="91"/>
  <c r="B498" i="91"/>
  <c r="B497" i="91"/>
  <c r="B496" i="91"/>
  <c r="B495" i="91"/>
  <c r="B494" i="91"/>
  <c r="B493" i="91"/>
  <c r="B492" i="91"/>
  <c r="B491" i="91"/>
  <c r="B490" i="91"/>
  <c r="B489" i="91"/>
  <c r="B488" i="91"/>
  <c r="B487" i="91"/>
  <c r="B486" i="91"/>
  <c r="B485" i="91"/>
  <c r="B484" i="91"/>
  <c r="B483" i="91"/>
  <c r="B482" i="91"/>
  <c r="B481" i="91"/>
  <c r="B480" i="91"/>
  <c r="B479" i="91"/>
  <c r="B478" i="91"/>
  <c r="B477" i="91"/>
  <c r="B476" i="91"/>
  <c r="B475" i="91"/>
  <c r="B474" i="91"/>
  <c r="B473" i="91"/>
  <c r="B472" i="91"/>
  <c r="B471" i="91"/>
  <c r="B470" i="91"/>
  <c r="B469" i="91"/>
  <c r="B468" i="91"/>
  <c r="B467" i="91"/>
  <c r="B466" i="91"/>
  <c r="B465" i="91"/>
  <c r="B464" i="91"/>
  <c r="B463" i="91"/>
  <c r="B462" i="91"/>
  <c r="B461" i="91"/>
  <c r="B460" i="91"/>
  <c r="B459" i="91"/>
  <c r="B458" i="91"/>
  <c r="B457" i="91"/>
  <c r="B456" i="91"/>
  <c r="B455" i="91"/>
  <c r="B454" i="91"/>
  <c r="B453" i="91"/>
  <c r="B452" i="91"/>
  <c r="B451" i="91"/>
  <c r="B450" i="91"/>
  <c r="B449" i="91"/>
  <c r="B448" i="91"/>
  <c r="B447" i="91"/>
  <c r="B446" i="91"/>
  <c r="B445" i="91"/>
  <c r="B444" i="91"/>
  <c r="B443" i="91"/>
  <c r="B442" i="91"/>
  <c r="B441" i="91"/>
  <c r="B440" i="91"/>
  <c r="B439" i="91"/>
  <c r="B438" i="91"/>
  <c r="B437" i="91"/>
  <c r="B436" i="91"/>
  <c r="B435" i="91"/>
  <c r="B434" i="91"/>
  <c r="B433" i="91"/>
  <c r="B432" i="91"/>
  <c r="B431" i="91"/>
  <c r="B430" i="91"/>
  <c r="B429" i="91"/>
  <c r="B428" i="91"/>
  <c r="B427" i="91"/>
  <c r="B426" i="91"/>
  <c r="B425" i="91"/>
  <c r="B424" i="91"/>
  <c r="B423" i="91"/>
  <c r="B422" i="91"/>
  <c r="B421" i="91"/>
  <c r="B420" i="91"/>
  <c r="B419" i="91"/>
  <c r="B418" i="91"/>
  <c r="B417" i="91"/>
  <c r="B416" i="91"/>
  <c r="B415" i="91"/>
  <c r="B414" i="91"/>
  <c r="B413" i="91"/>
  <c r="B412" i="91"/>
  <c r="B411" i="91"/>
  <c r="B410" i="91"/>
  <c r="B409" i="91"/>
  <c r="B408" i="91"/>
  <c r="B407" i="91"/>
  <c r="B406" i="91"/>
  <c r="B405" i="91"/>
  <c r="B404" i="91"/>
  <c r="B403" i="91"/>
  <c r="B402" i="91"/>
  <c r="B401" i="91"/>
  <c r="B400" i="91"/>
  <c r="B399" i="91"/>
  <c r="B398" i="91"/>
  <c r="B397" i="91"/>
  <c r="B396" i="91"/>
  <c r="B395" i="91"/>
  <c r="B394" i="91"/>
  <c r="B393" i="91"/>
  <c r="B392" i="91"/>
  <c r="B391" i="91"/>
  <c r="B390" i="91"/>
  <c r="B389" i="91"/>
  <c r="B388" i="91"/>
  <c r="B387" i="91"/>
  <c r="B386" i="91"/>
  <c r="B385" i="91"/>
  <c r="B384" i="91"/>
  <c r="B383" i="91"/>
  <c r="B382" i="91"/>
  <c r="B381" i="91"/>
  <c r="B380" i="91"/>
  <c r="B379" i="91"/>
  <c r="B378" i="91"/>
  <c r="B377" i="91"/>
  <c r="B376" i="91"/>
  <c r="B375" i="91"/>
  <c r="B374" i="91"/>
  <c r="B373" i="91"/>
  <c r="B372" i="91"/>
  <c r="B371" i="91"/>
  <c r="B370" i="91"/>
  <c r="B369" i="91"/>
  <c r="B368" i="91"/>
  <c r="B367" i="91"/>
  <c r="B366" i="91"/>
  <c r="B365" i="91"/>
  <c r="B364" i="91"/>
  <c r="B363" i="91"/>
  <c r="B362" i="91"/>
  <c r="B361" i="91"/>
  <c r="B360" i="91"/>
  <c r="B359" i="91"/>
  <c r="B358" i="91"/>
  <c r="B357" i="91"/>
  <c r="B356" i="91"/>
  <c r="B355" i="91"/>
  <c r="B354" i="91"/>
  <c r="B353" i="91"/>
  <c r="B352" i="91"/>
  <c r="B351" i="91"/>
  <c r="B350" i="91"/>
  <c r="B349" i="91"/>
  <c r="B348" i="91"/>
  <c r="B347" i="91"/>
  <c r="B346" i="91"/>
  <c r="B345" i="91"/>
  <c r="B344" i="91"/>
  <c r="B343" i="91"/>
  <c r="B342" i="91"/>
  <c r="B341" i="91"/>
  <c r="B340" i="91"/>
  <c r="B339" i="91"/>
  <c r="B338" i="91"/>
  <c r="B337" i="91"/>
  <c r="B336" i="91"/>
  <c r="B335" i="91"/>
  <c r="B334" i="91"/>
  <c r="B333" i="91"/>
  <c r="B332" i="91"/>
  <c r="B331" i="91"/>
  <c r="B330" i="91"/>
  <c r="B329" i="91"/>
  <c r="B328" i="91"/>
  <c r="B327" i="91"/>
  <c r="B326" i="91"/>
  <c r="B325" i="91"/>
  <c r="B324" i="91"/>
  <c r="B323" i="91"/>
  <c r="B322" i="91"/>
  <c r="B321" i="91"/>
  <c r="B320" i="91"/>
  <c r="B319" i="91"/>
  <c r="B318" i="91"/>
  <c r="B317" i="91"/>
  <c r="B316" i="91"/>
  <c r="B315" i="91"/>
  <c r="B314" i="91"/>
  <c r="B313" i="91"/>
  <c r="B312" i="91"/>
  <c r="B311" i="91"/>
  <c r="B310" i="91"/>
  <c r="B309" i="91"/>
  <c r="B308" i="91"/>
  <c r="B307" i="91"/>
  <c r="B306" i="91"/>
  <c r="B305" i="91"/>
  <c r="B304" i="91"/>
  <c r="B303" i="91"/>
  <c r="B302" i="91"/>
  <c r="B301" i="91"/>
  <c r="B300" i="91"/>
  <c r="B299" i="91"/>
  <c r="B298" i="91"/>
  <c r="B297" i="91"/>
  <c r="B296" i="91"/>
  <c r="B295" i="91"/>
  <c r="B294" i="91"/>
  <c r="B293" i="91"/>
  <c r="B292" i="91"/>
  <c r="B291" i="91"/>
  <c r="B290" i="91"/>
  <c r="B289" i="91"/>
  <c r="B288" i="91"/>
  <c r="B287" i="91"/>
  <c r="B286" i="91"/>
  <c r="B285" i="91"/>
  <c r="B284" i="91"/>
  <c r="B283" i="91"/>
  <c r="B282" i="91"/>
  <c r="B281" i="91"/>
  <c r="B280" i="91"/>
  <c r="B279" i="91"/>
  <c r="B278" i="91"/>
  <c r="B277" i="91"/>
  <c r="B276" i="91"/>
  <c r="B275" i="91"/>
  <c r="B274" i="91"/>
  <c r="B273" i="91"/>
  <c r="B272" i="91"/>
  <c r="B271" i="91"/>
  <c r="B270" i="91"/>
  <c r="B269" i="91"/>
  <c r="B268" i="91"/>
  <c r="B267" i="91"/>
  <c r="B266" i="91"/>
  <c r="B265" i="91"/>
  <c r="B264" i="91"/>
  <c r="B263" i="91"/>
  <c r="B262" i="91"/>
  <c r="B261" i="91"/>
  <c r="B260" i="91"/>
  <c r="B259" i="91"/>
  <c r="B258" i="91"/>
  <c r="B257" i="91"/>
  <c r="B256" i="91"/>
  <c r="B255" i="91"/>
  <c r="B254" i="91"/>
  <c r="B253" i="91"/>
  <c r="B252" i="91"/>
  <c r="B251" i="91"/>
  <c r="B250" i="91"/>
  <c r="B249" i="91"/>
  <c r="B248" i="91"/>
  <c r="B247" i="91"/>
  <c r="B246" i="91"/>
  <c r="B245" i="91"/>
  <c r="B244" i="91"/>
  <c r="B243" i="91"/>
  <c r="B242" i="91"/>
  <c r="B241" i="91"/>
  <c r="B240" i="91"/>
  <c r="B239" i="91"/>
  <c r="B238" i="91"/>
  <c r="B237" i="91"/>
  <c r="D27" i="50"/>
  <c r="C27" i="50"/>
  <c r="H7" i="50"/>
  <c r="F5" i="50"/>
  <c r="F6" i="50"/>
  <c r="B800" i="89"/>
  <c r="B799" i="89"/>
  <c r="B798" i="89"/>
  <c r="B797" i="89"/>
  <c r="B796" i="89"/>
  <c r="B795" i="89"/>
  <c r="B794" i="89"/>
  <c r="B793" i="89"/>
  <c r="B792" i="89"/>
  <c r="B791" i="89"/>
  <c r="B790" i="89"/>
  <c r="B789" i="89"/>
  <c r="B788" i="89"/>
  <c r="B787" i="89"/>
  <c r="B786" i="89"/>
  <c r="B785" i="89"/>
  <c r="B784" i="89"/>
  <c r="B783" i="89"/>
  <c r="B782" i="89"/>
  <c r="B781" i="89"/>
  <c r="B780" i="89"/>
  <c r="B779" i="89"/>
  <c r="B778" i="89"/>
  <c r="B777" i="89"/>
  <c r="B776" i="89"/>
  <c r="B775" i="89"/>
  <c r="B774" i="89"/>
  <c r="B773" i="89"/>
  <c r="B772" i="89"/>
  <c r="B771" i="89"/>
  <c r="B770" i="89"/>
  <c r="B769" i="89"/>
  <c r="B768" i="89"/>
  <c r="B767" i="89"/>
  <c r="B766" i="89"/>
  <c r="B765" i="89"/>
  <c r="B764" i="89"/>
  <c r="B763" i="89"/>
  <c r="B762" i="89"/>
  <c r="B761" i="89"/>
  <c r="B760" i="89"/>
  <c r="B759" i="89"/>
  <c r="B758" i="89"/>
  <c r="B757" i="89"/>
  <c r="B756" i="89"/>
  <c r="B755" i="89"/>
  <c r="B754" i="89"/>
  <c r="B753" i="89"/>
  <c r="B752" i="89"/>
  <c r="B751" i="89"/>
  <c r="B750" i="89"/>
  <c r="B749" i="89"/>
  <c r="B748" i="89"/>
  <c r="B747" i="89"/>
  <c r="B746" i="89"/>
  <c r="B745" i="89"/>
  <c r="B744" i="89"/>
  <c r="B743" i="89"/>
  <c r="B742" i="89"/>
  <c r="B741" i="89"/>
  <c r="B740" i="89"/>
  <c r="B739" i="89"/>
  <c r="B738" i="89"/>
  <c r="B737" i="89"/>
  <c r="B736" i="89"/>
  <c r="B735" i="89"/>
  <c r="B734" i="89"/>
  <c r="B733" i="89"/>
  <c r="B732" i="89"/>
  <c r="B731" i="89"/>
  <c r="B730" i="89"/>
  <c r="B729" i="89"/>
  <c r="B728" i="89"/>
  <c r="B727" i="89"/>
  <c r="B726" i="89"/>
  <c r="B725" i="89"/>
  <c r="B724" i="89"/>
  <c r="B723" i="89"/>
  <c r="B722" i="89"/>
  <c r="B721" i="89"/>
  <c r="B720" i="89"/>
  <c r="B719" i="89"/>
  <c r="B718" i="89"/>
  <c r="B717" i="89"/>
  <c r="B716" i="89"/>
  <c r="B715" i="89"/>
  <c r="B714" i="89"/>
  <c r="B713" i="89"/>
  <c r="B712" i="89"/>
  <c r="B711" i="89"/>
  <c r="B710" i="89"/>
  <c r="B709" i="89"/>
  <c r="B708" i="89"/>
  <c r="B707" i="89"/>
  <c r="B706" i="89"/>
  <c r="B705" i="89"/>
  <c r="B704" i="89"/>
  <c r="B703" i="89"/>
  <c r="B702" i="89"/>
  <c r="B701" i="89"/>
  <c r="B700" i="89"/>
  <c r="B699" i="89"/>
  <c r="B698" i="89"/>
  <c r="B697" i="89"/>
  <c r="B696" i="89"/>
  <c r="B695" i="89"/>
  <c r="B694" i="89"/>
  <c r="B693" i="89"/>
  <c r="B692" i="89"/>
  <c r="B691" i="89"/>
  <c r="B690" i="89"/>
  <c r="B689" i="89"/>
  <c r="B688" i="89"/>
  <c r="B687" i="89"/>
  <c r="B686" i="89"/>
  <c r="B685" i="89"/>
  <c r="B684" i="89"/>
  <c r="B683" i="89"/>
  <c r="B682" i="89"/>
  <c r="B681" i="89"/>
  <c r="B680" i="89"/>
  <c r="B679" i="89"/>
  <c r="B678" i="89"/>
  <c r="B677" i="89"/>
  <c r="B676" i="89"/>
  <c r="B675" i="89"/>
  <c r="B674" i="89"/>
  <c r="B673" i="89"/>
  <c r="B672" i="89"/>
  <c r="B671" i="89"/>
  <c r="B670" i="89"/>
  <c r="B669" i="89"/>
  <c r="B668" i="89"/>
  <c r="B667" i="89"/>
  <c r="B666" i="89"/>
  <c r="B665" i="89"/>
  <c r="B664" i="89"/>
  <c r="B663" i="89"/>
  <c r="B662" i="89"/>
  <c r="B661" i="89"/>
  <c r="B660" i="89"/>
  <c r="B659" i="89"/>
  <c r="B658" i="89"/>
  <c r="B657" i="89"/>
  <c r="B656" i="89"/>
  <c r="B655" i="89"/>
  <c r="B654" i="89"/>
  <c r="B653" i="89"/>
  <c r="B652" i="89"/>
  <c r="B651" i="89"/>
  <c r="B650" i="89"/>
  <c r="B649" i="89"/>
  <c r="B648" i="89"/>
  <c r="B647" i="89"/>
  <c r="B646" i="89"/>
  <c r="B645" i="89"/>
  <c r="B644" i="89"/>
  <c r="B643" i="89"/>
  <c r="B642" i="89"/>
  <c r="B641" i="89"/>
  <c r="B640" i="89"/>
  <c r="B639" i="89"/>
  <c r="B638" i="89"/>
  <c r="B637" i="89"/>
  <c r="B636" i="89"/>
  <c r="B635" i="89"/>
  <c r="B634" i="89"/>
  <c r="B633" i="89"/>
  <c r="B632" i="89"/>
  <c r="B631" i="89"/>
  <c r="B630" i="89"/>
  <c r="B629" i="89"/>
  <c r="B628" i="89"/>
  <c r="B627" i="89"/>
  <c r="B626" i="89"/>
  <c r="B625" i="89"/>
  <c r="B624" i="89"/>
  <c r="B623" i="89"/>
  <c r="B622" i="89"/>
  <c r="B621" i="89"/>
  <c r="B620" i="89"/>
  <c r="B619" i="89"/>
  <c r="B618" i="89"/>
  <c r="B617" i="89"/>
  <c r="B616" i="89"/>
  <c r="B615" i="89"/>
  <c r="B614" i="89"/>
  <c r="B613" i="89"/>
  <c r="B612" i="89"/>
  <c r="B611" i="89"/>
  <c r="B610" i="89"/>
  <c r="B609" i="89"/>
  <c r="B608" i="89"/>
  <c r="B607" i="89"/>
  <c r="B606" i="89"/>
  <c r="B605" i="89"/>
  <c r="B604" i="89"/>
  <c r="B603" i="89"/>
  <c r="B602" i="89"/>
  <c r="B601" i="89"/>
  <c r="B600" i="89"/>
  <c r="B599" i="89"/>
  <c r="B598" i="89"/>
  <c r="B597" i="89"/>
  <c r="B596" i="89"/>
  <c r="B595" i="89"/>
  <c r="B594" i="89"/>
  <c r="B593" i="89"/>
  <c r="B592" i="89"/>
  <c r="B591" i="89"/>
  <c r="B590" i="89"/>
  <c r="B589" i="89"/>
  <c r="B588" i="89"/>
  <c r="B587" i="89"/>
  <c r="B586" i="89"/>
  <c r="B585" i="89"/>
  <c r="B584" i="89"/>
  <c r="B583" i="89"/>
  <c r="B582" i="89"/>
  <c r="B581" i="89"/>
  <c r="B580" i="89"/>
  <c r="B579" i="89"/>
  <c r="B578" i="89"/>
  <c r="B577" i="89"/>
  <c r="B576" i="89"/>
  <c r="B575" i="89"/>
  <c r="B574" i="89"/>
  <c r="B573" i="89"/>
  <c r="B572" i="89"/>
  <c r="B571" i="89"/>
  <c r="B570" i="89"/>
  <c r="B569" i="89"/>
  <c r="B568" i="89"/>
  <c r="B567" i="89"/>
  <c r="B566" i="89"/>
  <c r="B565" i="89"/>
  <c r="B564" i="89"/>
  <c r="B563" i="89"/>
  <c r="B562" i="89"/>
  <c r="B561" i="89"/>
  <c r="B560" i="89"/>
  <c r="B559" i="89"/>
  <c r="B558" i="89"/>
  <c r="B557" i="89"/>
  <c r="B556" i="89"/>
  <c r="B555" i="89"/>
  <c r="B554" i="89"/>
  <c r="B553" i="89"/>
  <c r="B552" i="89"/>
  <c r="B551" i="89"/>
  <c r="B550" i="89"/>
  <c r="B549" i="89"/>
  <c r="B548" i="89"/>
  <c r="B547" i="89"/>
  <c r="B546" i="89"/>
  <c r="B545" i="89"/>
  <c r="B544" i="89"/>
  <c r="B543" i="89"/>
  <c r="B542" i="89"/>
  <c r="B541" i="89"/>
  <c r="B540" i="89"/>
  <c r="B539" i="89"/>
  <c r="B538" i="89"/>
  <c r="B537" i="89"/>
  <c r="B536" i="89"/>
  <c r="B535" i="89"/>
  <c r="B534" i="89"/>
  <c r="B533" i="89"/>
  <c r="B532" i="89"/>
  <c r="B531" i="89"/>
  <c r="B530" i="89"/>
  <c r="B529" i="89"/>
  <c r="B528" i="89"/>
  <c r="B527" i="89"/>
  <c r="B526" i="89"/>
  <c r="B525" i="89"/>
  <c r="B524" i="89"/>
  <c r="B523" i="89"/>
  <c r="B522" i="89"/>
  <c r="B521" i="89"/>
  <c r="B520" i="89"/>
  <c r="B519" i="89"/>
  <c r="B518" i="89"/>
  <c r="B517" i="89"/>
  <c r="B516" i="89"/>
  <c r="B515" i="89"/>
  <c r="B514" i="89"/>
  <c r="B513" i="89"/>
  <c r="B512" i="89"/>
  <c r="B511" i="89"/>
  <c r="B510" i="89"/>
  <c r="B509" i="89"/>
  <c r="B508" i="89"/>
  <c r="B507" i="89"/>
  <c r="B506" i="89"/>
  <c r="B505" i="89"/>
  <c r="B504" i="89"/>
  <c r="B503" i="89"/>
  <c r="B502" i="89"/>
  <c r="B501" i="89"/>
  <c r="B500" i="89"/>
  <c r="B499" i="89"/>
  <c r="B498" i="89"/>
  <c r="B497" i="89"/>
  <c r="B496" i="89"/>
  <c r="B495" i="89"/>
  <c r="B494" i="89"/>
  <c r="B493" i="89"/>
  <c r="B492" i="89"/>
  <c r="B491" i="89"/>
  <c r="B490" i="89"/>
  <c r="B489" i="89"/>
  <c r="B488" i="89"/>
  <c r="B487" i="89"/>
  <c r="B486" i="89"/>
  <c r="B485" i="89"/>
  <c r="B484" i="89"/>
  <c r="B483" i="89"/>
  <c r="B482" i="89"/>
  <c r="B481" i="89"/>
  <c r="B480" i="89"/>
  <c r="B479" i="89"/>
  <c r="B478" i="89"/>
  <c r="B477" i="89"/>
  <c r="B476" i="89"/>
  <c r="B475" i="89"/>
  <c r="B474" i="89"/>
  <c r="B473" i="89"/>
  <c r="B472" i="89"/>
  <c r="B471" i="89"/>
  <c r="B470" i="89"/>
  <c r="B469" i="89"/>
  <c r="B468" i="89"/>
  <c r="B467" i="89"/>
  <c r="B466" i="89"/>
  <c r="B465" i="89"/>
  <c r="B464" i="89"/>
  <c r="B463" i="89"/>
  <c r="B462" i="89"/>
  <c r="B461" i="89"/>
  <c r="B460" i="89"/>
  <c r="B459" i="89"/>
  <c r="B458" i="89"/>
  <c r="B457" i="89"/>
  <c r="B456" i="89"/>
  <c r="B455" i="89"/>
  <c r="B454" i="89"/>
  <c r="B453" i="89"/>
  <c r="B452" i="89"/>
  <c r="B451" i="89"/>
  <c r="B450" i="89"/>
  <c r="B449" i="89"/>
  <c r="B448" i="89"/>
  <c r="B447" i="89"/>
  <c r="B446" i="89"/>
  <c r="B445" i="89"/>
  <c r="B444" i="89"/>
  <c r="B443" i="89"/>
  <c r="B442" i="89"/>
  <c r="B441" i="89"/>
  <c r="B440" i="89"/>
  <c r="B439" i="89"/>
  <c r="B438" i="89"/>
  <c r="B437" i="89"/>
  <c r="B436" i="89"/>
  <c r="B435" i="89"/>
  <c r="B434" i="89"/>
  <c r="B433" i="89"/>
  <c r="B432" i="89"/>
  <c r="B431" i="89"/>
  <c r="B430" i="89"/>
  <c r="B429" i="89"/>
  <c r="B428" i="89"/>
  <c r="B427" i="89"/>
  <c r="B426" i="89"/>
  <c r="B425" i="89"/>
  <c r="B424" i="89"/>
  <c r="B423" i="89"/>
  <c r="B422" i="89"/>
  <c r="B421" i="89"/>
  <c r="B420" i="89"/>
  <c r="B419" i="89"/>
  <c r="B418" i="89"/>
  <c r="B417" i="89"/>
  <c r="B416" i="89"/>
  <c r="B415" i="89"/>
  <c r="B414" i="89"/>
  <c r="B413" i="89"/>
  <c r="B412" i="89"/>
  <c r="B411" i="89"/>
  <c r="B410" i="89"/>
  <c r="B409" i="89"/>
  <c r="B408" i="89"/>
  <c r="B407" i="89"/>
  <c r="B406" i="89"/>
  <c r="B405" i="89"/>
  <c r="B404" i="89"/>
  <c r="B403" i="89"/>
  <c r="B402" i="89"/>
  <c r="B401" i="89"/>
  <c r="B400" i="89"/>
  <c r="B399" i="89"/>
  <c r="B398" i="89"/>
  <c r="B397" i="89"/>
  <c r="B396" i="89"/>
  <c r="B395" i="89"/>
  <c r="B394" i="89"/>
  <c r="B393" i="89"/>
  <c r="B392" i="89"/>
  <c r="B391" i="89"/>
  <c r="B390" i="89"/>
  <c r="B389" i="89"/>
  <c r="B388" i="89"/>
  <c r="B387" i="89"/>
  <c r="B386" i="89"/>
  <c r="B385" i="89"/>
  <c r="B384" i="89"/>
  <c r="B383" i="89"/>
  <c r="B382" i="89"/>
  <c r="B381" i="89"/>
  <c r="B380" i="89"/>
  <c r="B379" i="89"/>
  <c r="B378" i="89"/>
  <c r="B377" i="89"/>
  <c r="B376" i="89"/>
  <c r="B375" i="89"/>
  <c r="B374" i="89"/>
  <c r="B373" i="89"/>
  <c r="B372" i="89"/>
  <c r="B371" i="89"/>
  <c r="B370" i="89"/>
  <c r="B369" i="89"/>
  <c r="B368" i="89"/>
  <c r="B367" i="89"/>
  <c r="B366" i="89"/>
  <c r="B365" i="89"/>
  <c r="B364" i="89"/>
  <c r="B363" i="89"/>
  <c r="B362" i="89"/>
  <c r="B361" i="89"/>
  <c r="B360" i="89"/>
  <c r="B359" i="89"/>
  <c r="B358" i="89"/>
  <c r="B357" i="89"/>
  <c r="B356" i="89"/>
  <c r="B355" i="89"/>
  <c r="B354" i="89"/>
  <c r="B353" i="89"/>
  <c r="B352" i="89"/>
  <c r="B351" i="89"/>
  <c r="B350" i="89"/>
  <c r="B349" i="89"/>
  <c r="B348" i="89"/>
  <c r="B347" i="89"/>
  <c r="B346" i="89"/>
  <c r="B345" i="89"/>
  <c r="B344" i="89"/>
  <c r="B343" i="89"/>
  <c r="B342" i="89"/>
  <c r="B341" i="89"/>
  <c r="B340" i="89"/>
  <c r="B339" i="89"/>
  <c r="B338" i="89"/>
  <c r="B337" i="89"/>
  <c r="B336" i="89"/>
  <c r="B335" i="89"/>
  <c r="B334" i="89"/>
  <c r="B333" i="89"/>
  <c r="B332" i="89"/>
  <c r="B331" i="89"/>
  <c r="B330" i="89"/>
  <c r="B329" i="89"/>
  <c r="B328" i="89"/>
  <c r="B327" i="89"/>
  <c r="B326" i="89"/>
  <c r="B325" i="89"/>
  <c r="B324" i="89"/>
  <c r="B323" i="89"/>
  <c r="B322" i="89"/>
  <c r="B321" i="89"/>
  <c r="B320" i="89"/>
  <c r="B319" i="89"/>
  <c r="B318" i="89"/>
  <c r="B317" i="89"/>
  <c r="B316" i="89"/>
  <c r="B315" i="89"/>
  <c r="B314" i="89"/>
  <c r="B313" i="89"/>
  <c r="B312" i="89"/>
  <c r="B311" i="89"/>
  <c r="B310" i="89"/>
  <c r="B309" i="89"/>
  <c r="B308" i="89"/>
  <c r="B307" i="89"/>
  <c r="B306" i="89"/>
  <c r="B305" i="89"/>
  <c r="B304" i="89"/>
  <c r="B303" i="89"/>
  <c r="B302" i="89"/>
  <c r="B301" i="89"/>
  <c r="B300" i="89"/>
  <c r="B299" i="89"/>
  <c r="B298" i="89"/>
  <c r="B297" i="89"/>
  <c r="B296" i="89"/>
  <c r="B295" i="89"/>
  <c r="B294" i="89"/>
  <c r="B293" i="89"/>
  <c r="B292" i="89"/>
  <c r="B291" i="89"/>
  <c r="B290" i="89"/>
  <c r="B289" i="89"/>
  <c r="B288" i="89"/>
  <c r="B287" i="89"/>
  <c r="B286" i="89"/>
  <c r="B285" i="89"/>
  <c r="B284" i="89"/>
  <c r="B283" i="89"/>
  <c r="B282" i="89"/>
  <c r="B281" i="89"/>
  <c r="B280" i="89"/>
  <c r="B279" i="89"/>
  <c r="B278" i="89"/>
  <c r="B277" i="89"/>
  <c r="B276" i="89"/>
  <c r="B275" i="89"/>
  <c r="B274" i="89"/>
  <c r="B273" i="89"/>
  <c r="B272" i="89"/>
  <c r="B271" i="89"/>
  <c r="B270" i="89"/>
  <c r="B269" i="89"/>
  <c r="B268" i="89"/>
  <c r="B267" i="89"/>
  <c r="B266" i="89"/>
  <c r="B265" i="89"/>
  <c r="B264" i="89"/>
  <c r="B263" i="89"/>
  <c r="B262" i="89"/>
  <c r="B261" i="89"/>
  <c r="B260" i="89"/>
  <c r="B259" i="89"/>
  <c r="B258" i="89"/>
  <c r="B257" i="89"/>
  <c r="B256" i="89"/>
  <c r="B255" i="89"/>
  <c r="B254" i="89"/>
  <c r="B253" i="89"/>
  <c r="B252" i="89"/>
  <c r="B251" i="89"/>
  <c r="B250" i="89"/>
  <c r="B249" i="89"/>
  <c r="B248" i="89"/>
  <c r="B247" i="89"/>
  <c r="B246" i="89"/>
  <c r="B245" i="89"/>
  <c r="B244" i="89"/>
  <c r="B243" i="89"/>
  <c r="B242" i="89"/>
  <c r="B241" i="89"/>
  <c r="B240" i="89"/>
  <c r="B239" i="89"/>
  <c r="B238" i="89"/>
  <c r="B237" i="89"/>
  <c r="B236" i="89"/>
  <c r="B235" i="89"/>
  <c r="B234" i="89"/>
  <c r="B233" i="89"/>
  <c r="B232" i="89"/>
  <c r="B231" i="89"/>
  <c r="B230" i="89"/>
  <c r="B229" i="89"/>
  <c r="B228" i="89"/>
  <c r="B227" i="89"/>
  <c r="B226" i="89"/>
  <c r="B225" i="89"/>
  <c r="B224" i="89"/>
  <c r="B223" i="89"/>
  <c r="B222" i="89"/>
  <c r="B221" i="89"/>
  <c r="B220" i="89"/>
  <c r="B219" i="89"/>
  <c r="B218" i="89"/>
  <c r="B217" i="89"/>
  <c r="B216" i="89"/>
  <c r="B215" i="89"/>
  <c r="B214" i="89"/>
  <c r="B213" i="89"/>
  <c r="B212" i="89"/>
  <c r="B211" i="89"/>
  <c r="B210" i="89"/>
  <c r="B209" i="89"/>
  <c r="B208" i="89"/>
  <c r="B207" i="89"/>
  <c r="B206" i="89"/>
  <c r="B205" i="89"/>
  <c r="B204" i="89"/>
  <c r="B203" i="89"/>
  <c r="C203" i="89" s="1"/>
  <c r="C204" i="89" s="1"/>
  <c r="C205" i="89" s="1"/>
  <c r="C206" i="89" s="1"/>
  <c r="C207" i="89" s="1"/>
  <c r="C208" i="89" s="1"/>
  <c r="C209" i="89" s="1"/>
  <c r="C210" i="89" s="1"/>
  <c r="C211" i="89" s="1"/>
  <c r="C212" i="89" s="1"/>
  <c r="C213" i="89" s="1"/>
  <c r="C214" i="89" s="1"/>
  <c r="C215" i="89" s="1"/>
  <c r="C216" i="89" s="1"/>
  <c r="C217" i="89" s="1"/>
  <c r="C218" i="89" s="1"/>
  <c r="C219" i="89" s="1"/>
  <c r="C220" i="89" s="1"/>
  <c r="C221" i="89" s="1"/>
  <c r="C222" i="89" s="1"/>
  <c r="C223" i="89" s="1"/>
  <c r="C224" i="89" s="1"/>
  <c r="C225" i="89" s="1"/>
  <c r="C226" i="89" s="1"/>
  <c r="C227" i="89" s="1"/>
  <c r="C228" i="89" s="1"/>
  <c r="C229" i="89" s="1"/>
  <c r="C230" i="89" s="1"/>
  <c r="C231" i="89" s="1"/>
  <c r="C232" i="89" s="1"/>
  <c r="C233" i="89" s="1"/>
  <c r="C234" i="89" s="1"/>
  <c r="C235" i="89" s="1"/>
  <c r="C236" i="89" s="1"/>
  <c r="C237" i="89" s="1"/>
  <c r="C238" i="89" s="1"/>
  <c r="C239" i="89" s="1"/>
  <c r="C240" i="89" s="1"/>
  <c r="C241" i="89" s="1"/>
  <c r="C242" i="89" s="1"/>
  <c r="C243" i="89" s="1"/>
  <c r="C244" i="89" s="1"/>
  <c r="C245" i="89" s="1"/>
  <c r="C246" i="89" s="1"/>
  <c r="C247" i="89" s="1"/>
  <c r="C248" i="89" s="1"/>
  <c r="C249" i="89" s="1"/>
  <c r="C250" i="89" s="1"/>
  <c r="C251" i="89" s="1"/>
  <c r="C252" i="89" s="1"/>
  <c r="C253" i="89" s="1"/>
  <c r="C254" i="89" s="1"/>
  <c r="C255" i="89" s="1"/>
  <c r="C256" i="89" s="1"/>
  <c r="C257" i="89" s="1"/>
  <c r="C258" i="89" s="1"/>
  <c r="C259" i="89" s="1"/>
  <c r="C260" i="89" s="1"/>
  <c r="C261" i="89" s="1"/>
  <c r="C262" i="89" s="1"/>
  <c r="C263" i="89" s="1"/>
  <c r="C264" i="89" s="1"/>
  <c r="C265" i="89" s="1"/>
  <c r="C266" i="89" s="1"/>
  <c r="C267" i="89" s="1"/>
  <c r="C268" i="89" s="1"/>
  <c r="C269" i="89" s="1"/>
  <c r="C270" i="89" s="1"/>
  <c r="C271" i="89" s="1"/>
  <c r="C272" i="89" s="1"/>
  <c r="C273" i="89" s="1"/>
  <c r="C274" i="89" s="1"/>
  <c r="C275" i="89" s="1"/>
  <c r="C276" i="89" s="1"/>
  <c r="C277" i="89" s="1"/>
  <c r="C278" i="89" s="1"/>
  <c r="C279" i="89" s="1"/>
  <c r="C280" i="89" s="1"/>
  <c r="C281" i="89" s="1"/>
  <c r="C282" i="89" s="1"/>
  <c r="C283" i="89" s="1"/>
  <c r="C284" i="89" s="1"/>
  <c r="C285" i="89" s="1"/>
  <c r="C286" i="89" s="1"/>
  <c r="C287" i="89" s="1"/>
  <c r="C288" i="89" s="1"/>
  <c r="C289" i="89" s="1"/>
  <c r="C290" i="89" s="1"/>
  <c r="C291" i="89" s="1"/>
  <c r="C292" i="89" s="1"/>
  <c r="C293" i="89" s="1"/>
  <c r="C294" i="89" s="1"/>
  <c r="C295" i="89" s="1"/>
  <c r="C296" i="89" s="1"/>
  <c r="C297" i="89" s="1"/>
  <c r="C298" i="89" s="1"/>
  <c r="C299" i="89" s="1"/>
  <c r="C300" i="89" s="1"/>
  <c r="C301" i="89" s="1"/>
  <c r="C302" i="89" s="1"/>
  <c r="C303" i="89" s="1"/>
  <c r="C304" i="89" s="1"/>
  <c r="C305" i="89" s="1"/>
  <c r="C306" i="89" s="1"/>
  <c r="C307" i="89" s="1"/>
  <c r="C308" i="89" s="1"/>
  <c r="C309" i="89" s="1"/>
  <c r="C310" i="89" s="1"/>
  <c r="C311" i="89" s="1"/>
  <c r="C312" i="89" s="1"/>
  <c r="C313" i="89" s="1"/>
  <c r="C314" i="89" s="1"/>
  <c r="C315" i="89" s="1"/>
  <c r="C316" i="89" s="1"/>
  <c r="C317" i="89" s="1"/>
  <c r="C318" i="89" s="1"/>
  <c r="C319" i="89" s="1"/>
  <c r="C320" i="89" s="1"/>
  <c r="C321" i="89" s="1"/>
  <c r="C322" i="89" s="1"/>
  <c r="C323" i="89" s="1"/>
  <c r="C324" i="89" s="1"/>
  <c r="C325" i="89" s="1"/>
  <c r="C326" i="89" s="1"/>
  <c r="C327" i="89" s="1"/>
  <c r="C328" i="89" s="1"/>
  <c r="C329" i="89" s="1"/>
  <c r="C330" i="89" s="1"/>
  <c r="C331" i="89" s="1"/>
  <c r="C332" i="89" s="1"/>
  <c r="C333" i="89" s="1"/>
  <c r="C334" i="89" s="1"/>
  <c r="C335" i="89" s="1"/>
  <c r="C336" i="89" s="1"/>
  <c r="C337" i="89" s="1"/>
  <c r="C338" i="89" s="1"/>
  <c r="C339" i="89" s="1"/>
  <c r="C340" i="89" s="1"/>
  <c r="C341" i="89" s="1"/>
  <c r="C342" i="89" s="1"/>
  <c r="C343" i="89" s="1"/>
  <c r="C344" i="89" s="1"/>
  <c r="C345" i="89" s="1"/>
  <c r="C346" i="89" s="1"/>
  <c r="C347" i="89" s="1"/>
  <c r="C348" i="89" s="1"/>
  <c r="C349" i="89" s="1"/>
  <c r="C350" i="89" s="1"/>
  <c r="C351" i="89" s="1"/>
  <c r="C352" i="89" s="1"/>
  <c r="C353" i="89" s="1"/>
  <c r="C354" i="89" s="1"/>
  <c r="C355" i="89" s="1"/>
  <c r="C356" i="89" s="1"/>
  <c r="C357" i="89" s="1"/>
  <c r="C358" i="89" s="1"/>
  <c r="C359" i="89" s="1"/>
  <c r="C360" i="89" s="1"/>
  <c r="C361" i="89" s="1"/>
  <c r="C362" i="89" s="1"/>
  <c r="C363" i="89" s="1"/>
  <c r="C364" i="89" s="1"/>
  <c r="C365" i="89" s="1"/>
  <c r="C366" i="89" s="1"/>
  <c r="C367" i="89" s="1"/>
  <c r="C368" i="89" s="1"/>
  <c r="C369" i="89" s="1"/>
  <c r="C370" i="89" s="1"/>
  <c r="C371" i="89" s="1"/>
  <c r="C372" i="89" s="1"/>
  <c r="C373" i="89" s="1"/>
  <c r="C374" i="89" s="1"/>
  <c r="C375" i="89" s="1"/>
  <c r="C376" i="89" s="1"/>
  <c r="C377" i="89" s="1"/>
  <c r="C378" i="89" s="1"/>
  <c r="C379" i="89" s="1"/>
  <c r="C380" i="89" s="1"/>
  <c r="C381" i="89" s="1"/>
  <c r="C382" i="89" s="1"/>
  <c r="C383" i="89" s="1"/>
  <c r="C384" i="89" s="1"/>
  <c r="C385" i="89" s="1"/>
  <c r="C386" i="89" s="1"/>
  <c r="C387" i="89" s="1"/>
  <c r="C388" i="89" s="1"/>
  <c r="C389" i="89" s="1"/>
  <c r="C390" i="89" s="1"/>
  <c r="C391" i="89" s="1"/>
  <c r="C392" i="89" s="1"/>
  <c r="C393" i="89" s="1"/>
  <c r="C394" i="89" s="1"/>
  <c r="C395" i="89" s="1"/>
  <c r="C396" i="89" s="1"/>
  <c r="C397" i="89" s="1"/>
  <c r="C398" i="89" s="1"/>
  <c r="C399" i="89" s="1"/>
  <c r="C400" i="89" s="1"/>
  <c r="C401" i="89" s="1"/>
  <c r="C402" i="89" s="1"/>
  <c r="C403" i="89" s="1"/>
  <c r="C404" i="89" s="1"/>
  <c r="C405" i="89" s="1"/>
  <c r="C406" i="89" s="1"/>
  <c r="C407" i="89" s="1"/>
  <c r="C408" i="89" s="1"/>
  <c r="C409" i="89" s="1"/>
  <c r="C410" i="89" s="1"/>
  <c r="C411" i="89" s="1"/>
  <c r="C412" i="89" s="1"/>
  <c r="C413" i="89" s="1"/>
  <c r="C414" i="89" s="1"/>
  <c r="C415" i="89" s="1"/>
  <c r="C416" i="89" s="1"/>
  <c r="C417" i="89" s="1"/>
  <c r="C418" i="89" s="1"/>
  <c r="C419" i="89" s="1"/>
  <c r="C420" i="89" s="1"/>
  <c r="C421" i="89" s="1"/>
  <c r="C422" i="89" s="1"/>
  <c r="C423" i="89" s="1"/>
  <c r="C424" i="89" s="1"/>
  <c r="C425" i="89" s="1"/>
  <c r="C426" i="89" s="1"/>
  <c r="C427" i="89" s="1"/>
  <c r="C428" i="89" s="1"/>
  <c r="C429" i="89" s="1"/>
  <c r="C430" i="89" s="1"/>
  <c r="C431" i="89" s="1"/>
  <c r="C432" i="89" s="1"/>
  <c r="C433" i="89" s="1"/>
  <c r="C434" i="89" s="1"/>
  <c r="C435" i="89" s="1"/>
  <c r="C436" i="89" s="1"/>
  <c r="C437" i="89" s="1"/>
  <c r="C438" i="89" s="1"/>
  <c r="C439" i="89" s="1"/>
  <c r="C440" i="89" s="1"/>
  <c r="C441" i="89" s="1"/>
  <c r="C442" i="89" s="1"/>
  <c r="C443" i="89" s="1"/>
  <c r="C444" i="89" s="1"/>
  <c r="C445" i="89" s="1"/>
  <c r="C446" i="89" s="1"/>
  <c r="C447" i="89" s="1"/>
  <c r="C448" i="89" s="1"/>
  <c r="C449" i="89" s="1"/>
  <c r="C450" i="89" s="1"/>
  <c r="C451" i="89" s="1"/>
  <c r="C452" i="89" s="1"/>
  <c r="C453" i="89" s="1"/>
  <c r="C454" i="89" s="1"/>
  <c r="C455" i="89" s="1"/>
  <c r="C456" i="89" s="1"/>
  <c r="C457" i="89" s="1"/>
  <c r="C458" i="89" s="1"/>
  <c r="C459" i="89" s="1"/>
  <c r="C460" i="89" s="1"/>
  <c r="C461" i="89" s="1"/>
  <c r="C462" i="89" s="1"/>
  <c r="C463" i="89" s="1"/>
  <c r="C464" i="89" s="1"/>
  <c r="C465" i="89" s="1"/>
  <c r="C466" i="89" s="1"/>
  <c r="C467" i="89" s="1"/>
  <c r="C468" i="89" s="1"/>
  <c r="C469" i="89" s="1"/>
  <c r="C470" i="89" s="1"/>
  <c r="C471" i="89" s="1"/>
  <c r="C472" i="89" s="1"/>
  <c r="C473" i="89" s="1"/>
  <c r="C474" i="89" s="1"/>
  <c r="C475" i="89" s="1"/>
  <c r="C476" i="89" s="1"/>
  <c r="C477" i="89" s="1"/>
  <c r="C478" i="89" s="1"/>
  <c r="C479" i="89" s="1"/>
  <c r="C480" i="89" s="1"/>
  <c r="C481" i="89" s="1"/>
  <c r="C482" i="89" s="1"/>
  <c r="C483" i="89" s="1"/>
  <c r="C484" i="89" s="1"/>
  <c r="C485" i="89" s="1"/>
  <c r="C486" i="89" s="1"/>
  <c r="C487" i="89" s="1"/>
  <c r="C488" i="89" s="1"/>
  <c r="C489" i="89" s="1"/>
  <c r="C490" i="89" s="1"/>
  <c r="C491" i="89" s="1"/>
  <c r="C492" i="89" s="1"/>
  <c r="C493" i="89" s="1"/>
  <c r="C494" i="89" s="1"/>
  <c r="C495" i="89" s="1"/>
  <c r="C496" i="89" s="1"/>
  <c r="C497" i="89" s="1"/>
  <c r="C498" i="89" s="1"/>
  <c r="C499" i="89" s="1"/>
  <c r="C500" i="89" s="1"/>
  <c r="C501" i="89" s="1"/>
  <c r="C502" i="89" s="1"/>
  <c r="C503" i="89" s="1"/>
  <c r="C504" i="89" s="1"/>
  <c r="C505" i="89" s="1"/>
  <c r="C506" i="89" s="1"/>
  <c r="C507" i="89" s="1"/>
  <c r="C508" i="89" s="1"/>
  <c r="C509" i="89" s="1"/>
  <c r="C510" i="89" s="1"/>
  <c r="C511" i="89" s="1"/>
  <c r="C512" i="89" s="1"/>
  <c r="C513" i="89" s="1"/>
  <c r="C514" i="89" s="1"/>
  <c r="C515" i="89" s="1"/>
  <c r="C516" i="89" s="1"/>
  <c r="C517" i="89" s="1"/>
  <c r="C518" i="89" s="1"/>
  <c r="C519" i="89" s="1"/>
  <c r="C520" i="89" s="1"/>
  <c r="C521" i="89" s="1"/>
  <c r="C522" i="89" s="1"/>
  <c r="C523" i="89" s="1"/>
  <c r="C524" i="89" s="1"/>
  <c r="C525" i="89" s="1"/>
  <c r="C526" i="89" s="1"/>
  <c r="C527" i="89" s="1"/>
  <c r="C528" i="89" s="1"/>
  <c r="C529" i="89" s="1"/>
  <c r="C530" i="89" s="1"/>
  <c r="C531" i="89" s="1"/>
  <c r="C532" i="89" s="1"/>
  <c r="C533" i="89" s="1"/>
  <c r="C534" i="89" s="1"/>
  <c r="C535" i="89" s="1"/>
  <c r="C536" i="89" s="1"/>
  <c r="C537" i="89" s="1"/>
  <c r="C538" i="89" s="1"/>
  <c r="C539" i="89" s="1"/>
  <c r="C540" i="89" s="1"/>
  <c r="C541" i="89" s="1"/>
  <c r="C542" i="89" s="1"/>
  <c r="C543" i="89" s="1"/>
  <c r="C544" i="89" s="1"/>
  <c r="C545" i="89" s="1"/>
  <c r="C546" i="89" s="1"/>
  <c r="C547" i="89" s="1"/>
  <c r="C548" i="89" s="1"/>
  <c r="C549" i="89" s="1"/>
  <c r="C550" i="89" s="1"/>
  <c r="C551" i="89" s="1"/>
  <c r="C552" i="89" s="1"/>
  <c r="C553" i="89" s="1"/>
  <c r="C554" i="89" s="1"/>
  <c r="C555" i="89" s="1"/>
  <c r="C556" i="89" s="1"/>
  <c r="C557" i="89" s="1"/>
  <c r="C558" i="89" s="1"/>
  <c r="C559" i="89" s="1"/>
  <c r="C560" i="89" s="1"/>
  <c r="C561" i="89" s="1"/>
  <c r="C562" i="89" s="1"/>
  <c r="C563" i="89" s="1"/>
  <c r="C564" i="89" s="1"/>
  <c r="C565" i="89" s="1"/>
  <c r="C566" i="89" s="1"/>
  <c r="C567" i="89" s="1"/>
  <c r="C568" i="89" s="1"/>
  <c r="C569" i="89" s="1"/>
  <c r="C570" i="89" s="1"/>
  <c r="C571" i="89" s="1"/>
  <c r="C572" i="89" s="1"/>
  <c r="C573" i="89" s="1"/>
  <c r="C574" i="89" s="1"/>
  <c r="C575" i="89" s="1"/>
  <c r="C576" i="89" s="1"/>
  <c r="C577" i="89" s="1"/>
  <c r="C578" i="89" s="1"/>
  <c r="C579" i="89" s="1"/>
  <c r="C580" i="89" s="1"/>
  <c r="C581" i="89" s="1"/>
  <c r="C582" i="89" s="1"/>
  <c r="C583" i="89" s="1"/>
  <c r="C584" i="89" s="1"/>
  <c r="C585" i="89" s="1"/>
  <c r="C586" i="89" s="1"/>
  <c r="C587" i="89" s="1"/>
  <c r="C588" i="89" s="1"/>
  <c r="C589" i="89" s="1"/>
  <c r="C590" i="89" s="1"/>
  <c r="C591" i="89" s="1"/>
  <c r="C592" i="89" s="1"/>
  <c r="C593" i="89" s="1"/>
  <c r="C594" i="89" s="1"/>
  <c r="C595" i="89" s="1"/>
  <c r="C596" i="89" s="1"/>
  <c r="C597" i="89" s="1"/>
  <c r="C598" i="89" s="1"/>
  <c r="C599" i="89" s="1"/>
  <c r="C600" i="89" s="1"/>
  <c r="C601" i="89" s="1"/>
  <c r="C602" i="89" s="1"/>
  <c r="C603" i="89" s="1"/>
  <c r="C604" i="89" s="1"/>
  <c r="C605" i="89" s="1"/>
  <c r="C606" i="89" s="1"/>
  <c r="C607" i="89" s="1"/>
  <c r="C608" i="89" s="1"/>
  <c r="C609" i="89" s="1"/>
  <c r="C610" i="89" s="1"/>
  <c r="C611" i="89" s="1"/>
  <c r="C612" i="89" s="1"/>
  <c r="C613" i="89" s="1"/>
  <c r="C614" i="89" s="1"/>
  <c r="C615" i="89" s="1"/>
  <c r="C616" i="89" s="1"/>
  <c r="C617" i="89" s="1"/>
  <c r="C618" i="89" s="1"/>
  <c r="C619" i="89" s="1"/>
  <c r="C620" i="89" s="1"/>
  <c r="C621" i="89" s="1"/>
  <c r="C622" i="89" s="1"/>
  <c r="C623" i="89" s="1"/>
  <c r="C624" i="89" s="1"/>
  <c r="C625" i="89" s="1"/>
  <c r="C626" i="89" s="1"/>
  <c r="C627" i="89" s="1"/>
  <c r="C628" i="89" s="1"/>
  <c r="C629" i="89" s="1"/>
  <c r="C630" i="89" s="1"/>
  <c r="C631" i="89" s="1"/>
  <c r="C632" i="89" s="1"/>
  <c r="C633" i="89" s="1"/>
  <c r="C634" i="89" s="1"/>
  <c r="C635" i="89" s="1"/>
  <c r="C636" i="89" s="1"/>
  <c r="C637" i="89" s="1"/>
  <c r="C638" i="89" s="1"/>
  <c r="C639" i="89" s="1"/>
  <c r="C640" i="89" s="1"/>
  <c r="C641" i="89" s="1"/>
  <c r="C642" i="89" s="1"/>
  <c r="C643" i="89" s="1"/>
  <c r="C644" i="89" s="1"/>
  <c r="C645" i="89" s="1"/>
  <c r="C646" i="89" s="1"/>
  <c r="C647" i="89" s="1"/>
  <c r="C648" i="89" s="1"/>
  <c r="C649" i="89" s="1"/>
  <c r="C650" i="89" s="1"/>
  <c r="C651" i="89" s="1"/>
  <c r="C652" i="89" s="1"/>
  <c r="C653" i="89" s="1"/>
  <c r="C654" i="89" s="1"/>
  <c r="C655" i="89" s="1"/>
  <c r="C656" i="89" s="1"/>
  <c r="C657" i="89" s="1"/>
  <c r="C658" i="89" s="1"/>
  <c r="C659" i="89" s="1"/>
  <c r="C660" i="89" s="1"/>
  <c r="C661" i="89" s="1"/>
  <c r="C662" i="89" s="1"/>
  <c r="C663" i="89" s="1"/>
  <c r="C664" i="89" s="1"/>
  <c r="C665" i="89" s="1"/>
  <c r="C666" i="89" s="1"/>
  <c r="C667" i="89" s="1"/>
  <c r="C668" i="89" s="1"/>
  <c r="C669" i="89" s="1"/>
  <c r="C670" i="89" s="1"/>
  <c r="C671" i="89" s="1"/>
  <c r="C672" i="89" s="1"/>
  <c r="C673" i="89" s="1"/>
  <c r="C674" i="89" s="1"/>
  <c r="C675" i="89" s="1"/>
  <c r="C676" i="89" s="1"/>
  <c r="C677" i="89" s="1"/>
  <c r="C678" i="89" s="1"/>
  <c r="C679" i="89" s="1"/>
  <c r="C680" i="89" s="1"/>
  <c r="C681" i="89" s="1"/>
  <c r="C682" i="89" s="1"/>
  <c r="C683" i="89" s="1"/>
  <c r="C684" i="89" s="1"/>
  <c r="C685" i="89" s="1"/>
  <c r="C686" i="89" s="1"/>
  <c r="C687" i="89" s="1"/>
  <c r="C688" i="89" s="1"/>
  <c r="C689" i="89" s="1"/>
  <c r="C690" i="89" s="1"/>
  <c r="C691" i="89" s="1"/>
  <c r="C692" i="89" s="1"/>
  <c r="C693" i="89" s="1"/>
  <c r="C694" i="89" s="1"/>
  <c r="C695" i="89" s="1"/>
  <c r="C696" i="89" s="1"/>
  <c r="C697" i="89" s="1"/>
  <c r="C698" i="89" s="1"/>
  <c r="C699" i="89" s="1"/>
  <c r="C700" i="89" s="1"/>
  <c r="C701" i="89" s="1"/>
  <c r="C702" i="89" s="1"/>
  <c r="C703" i="89" s="1"/>
  <c r="C704" i="89" s="1"/>
  <c r="C705" i="89" s="1"/>
  <c r="C706" i="89" s="1"/>
  <c r="C707" i="89" s="1"/>
  <c r="C708" i="89" s="1"/>
  <c r="C709" i="89" s="1"/>
  <c r="C710" i="89" s="1"/>
  <c r="C711" i="89" s="1"/>
  <c r="C712" i="89" s="1"/>
  <c r="C713" i="89" s="1"/>
  <c r="C714" i="89" s="1"/>
  <c r="C715" i="89" s="1"/>
  <c r="C716" i="89" s="1"/>
  <c r="C717" i="89" s="1"/>
  <c r="C718" i="89" s="1"/>
  <c r="C719" i="89" s="1"/>
  <c r="C720" i="89" s="1"/>
  <c r="C721" i="89" s="1"/>
  <c r="C722" i="89" s="1"/>
  <c r="C723" i="89" s="1"/>
  <c r="C724" i="89" s="1"/>
  <c r="C725" i="89" s="1"/>
  <c r="C726" i="89" s="1"/>
  <c r="C727" i="89" s="1"/>
  <c r="C728" i="89" s="1"/>
  <c r="C729" i="89" s="1"/>
  <c r="C730" i="89" s="1"/>
  <c r="C731" i="89" s="1"/>
  <c r="C732" i="89" s="1"/>
  <c r="C733" i="89" s="1"/>
  <c r="C734" i="89" s="1"/>
  <c r="C735" i="89" s="1"/>
  <c r="C736" i="89" s="1"/>
  <c r="C737" i="89" s="1"/>
  <c r="C738" i="89" s="1"/>
  <c r="C739" i="89" s="1"/>
  <c r="C740" i="89" s="1"/>
  <c r="C741" i="89" s="1"/>
  <c r="C742" i="89" s="1"/>
  <c r="C743" i="89" s="1"/>
  <c r="C744" i="89" s="1"/>
  <c r="C745" i="89" s="1"/>
  <c r="C746" i="89" s="1"/>
  <c r="C747" i="89" s="1"/>
  <c r="C748" i="89" s="1"/>
  <c r="C749" i="89" s="1"/>
  <c r="C750" i="89" s="1"/>
  <c r="C751" i="89" s="1"/>
  <c r="C752" i="89" s="1"/>
  <c r="C753" i="89" s="1"/>
  <c r="C754" i="89" s="1"/>
  <c r="C755" i="89" s="1"/>
  <c r="C756" i="89" s="1"/>
  <c r="C757" i="89" s="1"/>
  <c r="C758" i="89" s="1"/>
  <c r="C759" i="89" s="1"/>
  <c r="C760" i="89" s="1"/>
  <c r="C761" i="89" s="1"/>
  <c r="C762" i="89" s="1"/>
  <c r="C763" i="89" s="1"/>
  <c r="C764" i="89" s="1"/>
  <c r="C765" i="89" s="1"/>
  <c r="C766" i="89" s="1"/>
  <c r="C767" i="89" s="1"/>
  <c r="C768" i="89" s="1"/>
  <c r="C769" i="89" s="1"/>
  <c r="C770" i="89" s="1"/>
  <c r="C771" i="89" s="1"/>
  <c r="C772" i="89" s="1"/>
  <c r="C773" i="89" s="1"/>
  <c r="C774" i="89" s="1"/>
  <c r="C775" i="89" s="1"/>
  <c r="C776" i="89" s="1"/>
  <c r="C777" i="89" s="1"/>
  <c r="C778" i="89" s="1"/>
  <c r="C779" i="89" s="1"/>
  <c r="C780" i="89" s="1"/>
  <c r="C781" i="89" s="1"/>
  <c r="C782" i="89" s="1"/>
  <c r="C783" i="89" s="1"/>
  <c r="C784" i="89" s="1"/>
  <c r="C785" i="89" s="1"/>
  <c r="C786" i="89" s="1"/>
  <c r="C787" i="89" s="1"/>
  <c r="C788" i="89" s="1"/>
  <c r="C789" i="89" s="1"/>
  <c r="C790" i="89" s="1"/>
  <c r="C791" i="89" s="1"/>
  <c r="C792" i="89" s="1"/>
  <c r="C793" i="89" s="1"/>
  <c r="C794" i="89" s="1"/>
  <c r="C795" i="89" s="1"/>
  <c r="C796" i="89" s="1"/>
  <c r="C797" i="89" s="1"/>
  <c r="C798" i="89" s="1"/>
  <c r="C799" i="89" s="1"/>
  <c r="C800" i="89" s="1"/>
  <c r="B801" i="88"/>
  <c r="B800" i="88"/>
  <c r="B799" i="88"/>
  <c r="B798" i="88"/>
  <c r="B797" i="88"/>
  <c r="B796" i="88"/>
  <c r="B795" i="88"/>
  <c r="B794" i="88"/>
  <c r="B793" i="88"/>
  <c r="B792" i="88"/>
  <c r="B791" i="88"/>
  <c r="B790" i="88"/>
  <c r="B789" i="88"/>
  <c r="B788" i="88"/>
  <c r="B787" i="88"/>
  <c r="B786" i="88"/>
  <c r="B785" i="88"/>
  <c r="B784" i="88"/>
  <c r="B783" i="88"/>
  <c r="B782" i="88"/>
  <c r="B781" i="88"/>
  <c r="B780" i="88"/>
  <c r="B779" i="88"/>
  <c r="B778" i="88"/>
  <c r="B777" i="88"/>
  <c r="B776" i="88"/>
  <c r="B775" i="88"/>
  <c r="B774" i="88"/>
  <c r="B773" i="88"/>
  <c r="B772" i="88"/>
  <c r="B771" i="88"/>
  <c r="B770" i="88"/>
  <c r="B769" i="88"/>
  <c r="B768" i="88"/>
  <c r="B767" i="88"/>
  <c r="B766" i="88"/>
  <c r="B765" i="88"/>
  <c r="B764" i="88"/>
  <c r="B763" i="88"/>
  <c r="B762" i="88"/>
  <c r="B761" i="88"/>
  <c r="B760" i="88"/>
  <c r="B759" i="88"/>
  <c r="B758" i="88"/>
  <c r="B757" i="88"/>
  <c r="B756" i="88"/>
  <c r="B755" i="88"/>
  <c r="B754" i="88"/>
  <c r="B753" i="88"/>
  <c r="B752" i="88"/>
  <c r="B751" i="88"/>
  <c r="B750" i="88"/>
  <c r="B749" i="88"/>
  <c r="B748" i="88"/>
  <c r="B747" i="88"/>
  <c r="B746" i="88"/>
  <c r="B745" i="88"/>
  <c r="B744" i="88"/>
  <c r="B743" i="88"/>
  <c r="B742" i="88"/>
  <c r="B741" i="88"/>
  <c r="B740" i="88"/>
  <c r="B739" i="88"/>
  <c r="B738" i="88"/>
  <c r="B737" i="88"/>
  <c r="B736" i="88"/>
  <c r="B735" i="88"/>
  <c r="B734" i="88"/>
  <c r="B733" i="88"/>
  <c r="B732" i="88"/>
  <c r="B731" i="88"/>
  <c r="B730" i="88"/>
  <c r="B729" i="88"/>
  <c r="B728" i="88"/>
  <c r="B727" i="88"/>
  <c r="B726" i="88"/>
  <c r="B725" i="88"/>
  <c r="B724" i="88"/>
  <c r="B723" i="88"/>
  <c r="B722" i="88"/>
  <c r="B721" i="88"/>
  <c r="B720" i="88"/>
  <c r="B719" i="88"/>
  <c r="B718" i="88"/>
  <c r="B717" i="88"/>
  <c r="B716" i="88"/>
  <c r="B715" i="88"/>
  <c r="B714" i="88"/>
  <c r="B713" i="88"/>
  <c r="B712" i="88"/>
  <c r="B711" i="88"/>
  <c r="B710" i="88"/>
  <c r="B709" i="88"/>
  <c r="B708" i="88"/>
  <c r="B707" i="88"/>
  <c r="B706" i="88"/>
  <c r="B705" i="88"/>
  <c r="B704" i="88"/>
  <c r="B703" i="88"/>
  <c r="B702" i="88"/>
  <c r="B701" i="88"/>
  <c r="B700" i="88"/>
  <c r="B699" i="88"/>
  <c r="B698" i="88"/>
  <c r="B697" i="88"/>
  <c r="B696" i="88"/>
  <c r="B695" i="88"/>
  <c r="B694" i="88"/>
  <c r="B693" i="88"/>
  <c r="B692" i="88"/>
  <c r="B691" i="88"/>
  <c r="B690" i="88"/>
  <c r="B689" i="88"/>
  <c r="B688" i="88"/>
  <c r="B687" i="88"/>
  <c r="B686" i="88"/>
  <c r="B685" i="88"/>
  <c r="B684" i="88"/>
  <c r="B683" i="88"/>
  <c r="B682" i="88"/>
  <c r="B681" i="88"/>
  <c r="B680" i="88"/>
  <c r="B679" i="88"/>
  <c r="B678" i="88"/>
  <c r="B677" i="88"/>
  <c r="B676" i="88"/>
  <c r="B675" i="88"/>
  <c r="B674" i="88"/>
  <c r="B673" i="88"/>
  <c r="B672" i="88"/>
  <c r="B671" i="88"/>
  <c r="B670" i="88"/>
  <c r="B669" i="88"/>
  <c r="B668" i="88"/>
  <c r="B667" i="88"/>
  <c r="B666" i="88"/>
  <c r="B665" i="88"/>
  <c r="B664" i="88"/>
  <c r="B663" i="88"/>
  <c r="B662" i="88"/>
  <c r="B661" i="88"/>
  <c r="B660" i="88"/>
  <c r="B659" i="88"/>
  <c r="B658" i="88"/>
  <c r="B657" i="88"/>
  <c r="B656" i="88"/>
  <c r="B655" i="88"/>
  <c r="B654" i="88"/>
  <c r="B653" i="88"/>
  <c r="B652" i="88"/>
  <c r="B651" i="88"/>
  <c r="B650" i="88"/>
  <c r="B649" i="88"/>
  <c r="B648" i="88"/>
  <c r="B647" i="88"/>
  <c r="B646" i="88"/>
  <c r="B645" i="88"/>
  <c r="B644" i="88"/>
  <c r="B643" i="88"/>
  <c r="B642" i="88"/>
  <c r="B641" i="88"/>
  <c r="B640" i="88"/>
  <c r="B639" i="88"/>
  <c r="B638" i="88"/>
  <c r="B637" i="88"/>
  <c r="B636" i="88"/>
  <c r="B635" i="88"/>
  <c r="B634" i="88"/>
  <c r="B633" i="88"/>
  <c r="B632" i="88"/>
  <c r="B631" i="88"/>
  <c r="B630" i="88"/>
  <c r="B629" i="88"/>
  <c r="B628" i="88"/>
  <c r="B627" i="88"/>
  <c r="B626" i="88"/>
  <c r="B625" i="88"/>
  <c r="B624" i="88"/>
  <c r="B623" i="88"/>
  <c r="B622" i="88"/>
  <c r="B621" i="88"/>
  <c r="B620" i="88"/>
  <c r="B619" i="88"/>
  <c r="B618" i="88"/>
  <c r="B617" i="88"/>
  <c r="B616" i="88"/>
  <c r="B615" i="88"/>
  <c r="B614" i="88"/>
  <c r="B613" i="88"/>
  <c r="B612" i="88"/>
  <c r="B611" i="88"/>
  <c r="B610" i="88"/>
  <c r="B609" i="88"/>
  <c r="B608" i="88"/>
  <c r="B607" i="88"/>
  <c r="B606" i="88"/>
  <c r="B605" i="88"/>
  <c r="B604" i="88"/>
  <c r="B603" i="88"/>
  <c r="B602" i="88"/>
  <c r="B601" i="88"/>
  <c r="B600" i="88"/>
  <c r="B599" i="88"/>
  <c r="B598" i="88"/>
  <c r="B597" i="88"/>
  <c r="B596" i="88"/>
  <c r="B595" i="88"/>
  <c r="B594" i="88"/>
  <c r="B593" i="88"/>
  <c r="B592" i="88"/>
  <c r="B591" i="88"/>
  <c r="B590" i="88"/>
  <c r="B589" i="88"/>
  <c r="B588" i="88"/>
  <c r="B587" i="88"/>
  <c r="B586" i="88"/>
  <c r="B585" i="88"/>
  <c r="B584" i="88"/>
  <c r="B583" i="88"/>
  <c r="B582" i="88"/>
  <c r="B581" i="88"/>
  <c r="B580" i="88"/>
  <c r="B579" i="88"/>
  <c r="B578" i="88"/>
  <c r="B577" i="88"/>
  <c r="B576" i="88"/>
  <c r="B575" i="88"/>
  <c r="B574" i="88"/>
  <c r="B573" i="88"/>
  <c r="B572" i="88"/>
  <c r="B571" i="88"/>
  <c r="B570" i="88"/>
  <c r="B569" i="88"/>
  <c r="B568" i="88"/>
  <c r="B567" i="88"/>
  <c r="B566" i="88"/>
  <c r="B565" i="88"/>
  <c r="B564" i="88"/>
  <c r="B563" i="88"/>
  <c r="B562" i="88"/>
  <c r="B561" i="88"/>
  <c r="B560" i="88"/>
  <c r="B559" i="88"/>
  <c r="B558" i="88"/>
  <c r="B557" i="88"/>
  <c r="B556" i="88"/>
  <c r="B555" i="88"/>
  <c r="B554" i="88"/>
  <c r="B553" i="88"/>
  <c r="B552" i="88"/>
  <c r="B551" i="88"/>
  <c r="B550" i="88"/>
  <c r="B549" i="88"/>
  <c r="B548" i="88"/>
  <c r="B547" i="88"/>
  <c r="B546" i="88"/>
  <c r="B545" i="88"/>
  <c r="B544" i="88"/>
  <c r="B543" i="88"/>
  <c r="B542" i="88"/>
  <c r="B541" i="88"/>
  <c r="B540" i="88"/>
  <c r="B539" i="88"/>
  <c r="B538" i="88"/>
  <c r="B537" i="88"/>
  <c r="B536" i="88"/>
  <c r="B535" i="88"/>
  <c r="B534" i="88"/>
  <c r="B533" i="88"/>
  <c r="B532" i="88"/>
  <c r="B531" i="88"/>
  <c r="B530" i="88"/>
  <c r="B529" i="88"/>
  <c r="B528" i="88"/>
  <c r="B527" i="88"/>
  <c r="B526" i="88"/>
  <c r="B525" i="88"/>
  <c r="B524" i="88"/>
  <c r="B523" i="88"/>
  <c r="B522" i="88"/>
  <c r="B521" i="88"/>
  <c r="B520" i="88"/>
  <c r="B519" i="88"/>
  <c r="B518" i="88"/>
  <c r="B517" i="88"/>
  <c r="B516" i="88"/>
  <c r="B515" i="88"/>
  <c r="B514" i="88"/>
  <c r="B513" i="88"/>
  <c r="B512" i="88"/>
  <c r="B511" i="88"/>
  <c r="B510" i="88"/>
  <c r="B509" i="88"/>
  <c r="B508" i="88"/>
  <c r="B507" i="88"/>
  <c r="B506" i="88"/>
  <c r="B505" i="88"/>
  <c r="B504" i="88"/>
  <c r="B503" i="88"/>
  <c r="B502" i="88"/>
  <c r="B501" i="88"/>
  <c r="B500" i="88"/>
  <c r="B499" i="88"/>
  <c r="B498" i="88"/>
  <c r="B497" i="88"/>
  <c r="B496" i="88"/>
  <c r="B495" i="88"/>
  <c r="B494" i="88"/>
  <c r="B493" i="88"/>
  <c r="B492" i="88"/>
  <c r="B491" i="88"/>
  <c r="B490" i="88"/>
  <c r="B489" i="88"/>
  <c r="B488" i="88"/>
  <c r="B487" i="88"/>
  <c r="B486" i="88"/>
  <c r="B485" i="88"/>
  <c r="B484" i="88"/>
  <c r="B483" i="88"/>
  <c r="B482" i="88"/>
  <c r="B481" i="88"/>
  <c r="B480" i="88"/>
  <c r="B479" i="88"/>
  <c r="B478" i="88"/>
  <c r="B477" i="88"/>
  <c r="B476" i="88"/>
  <c r="B475" i="88"/>
  <c r="B474" i="88"/>
  <c r="B473" i="88"/>
  <c r="B472" i="88"/>
  <c r="B471" i="88"/>
  <c r="B470" i="88"/>
  <c r="B469" i="88"/>
  <c r="B468" i="88"/>
  <c r="B467" i="88"/>
  <c r="B466" i="88"/>
  <c r="B465" i="88"/>
  <c r="B464" i="88"/>
  <c r="B463" i="88"/>
  <c r="B462" i="88"/>
  <c r="B461" i="88"/>
  <c r="B460" i="88"/>
  <c r="B459" i="88"/>
  <c r="B458" i="88"/>
  <c r="B457" i="88"/>
  <c r="B456" i="88"/>
  <c r="B455" i="88"/>
  <c r="B454" i="88"/>
  <c r="B453" i="88"/>
  <c r="B452" i="88"/>
  <c r="B451" i="88"/>
  <c r="B450" i="88"/>
  <c r="B449" i="88"/>
  <c r="B448" i="88"/>
  <c r="B447" i="88"/>
  <c r="B446" i="88"/>
  <c r="B445" i="88"/>
  <c r="B444" i="88"/>
  <c r="B443" i="88"/>
  <c r="B442" i="88"/>
  <c r="B441" i="88"/>
  <c r="B440" i="88"/>
  <c r="B439" i="88"/>
  <c r="B438" i="88"/>
  <c r="B437" i="88"/>
  <c r="B436" i="88"/>
  <c r="B435" i="88"/>
  <c r="B434" i="88"/>
  <c r="B433" i="88"/>
  <c r="B432" i="88"/>
  <c r="B431" i="88"/>
  <c r="B430" i="88"/>
  <c r="B429" i="88"/>
  <c r="B428" i="88"/>
  <c r="B427" i="88"/>
  <c r="B426" i="88"/>
  <c r="B425" i="88"/>
  <c r="B424" i="88"/>
  <c r="B423" i="88"/>
  <c r="B422" i="88"/>
  <c r="B421" i="88"/>
  <c r="B420" i="88"/>
  <c r="B419" i="88"/>
  <c r="B418" i="88"/>
  <c r="B417" i="88"/>
  <c r="B416" i="88"/>
  <c r="B415" i="88"/>
  <c r="B414" i="88"/>
  <c r="B413" i="88"/>
  <c r="B412" i="88"/>
  <c r="B411" i="88"/>
  <c r="B410" i="88"/>
  <c r="B409" i="88"/>
  <c r="B408" i="88"/>
  <c r="B407" i="88"/>
  <c r="B406" i="88"/>
  <c r="B405" i="88"/>
  <c r="B404" i="88"/>
  <c r="B403" i="88"/>
  <c r="B402" i="88"/>
  <c r="B401" i="88"/>
  <c r="B400" i="88"/>
  <c r="B399" i="88"/>
  <c r="B398" i="88"/>
  <c r="B397" i="88"/>
  <c r="B396" i="88"/>
  <c r="B395" i="88"/>
  <c r="B394" i="88"/>
  <c r="B393" i="88"/>
  <c r="B392" i="88"/>
  <c r="B391" i="88"/>
  <c r="B390" i="88"/>
  <c r="B389" i="88"/>
  <c r="B388" i="88"/>
  <c r="B387" i="88"/>
  <c r="B386" i="88"/>
  <c r="B385" i="88"/>
  <c r="B384" i="88"/>
  <c r="B383" i="88"/>
  <c r="B382" i="88"/>
  <c r="B381" i="88"/>
  <c r="B380" i="88"/>
  <c r="B379" i="88"/>
  <c r="B378" i="88"/>
  <c r="B377" i="88"/>
  <c r="B376" i="88"/>
  <c r="B375" i="88"/>
  <c r="B374" i="88"/>
  <c r="B373" i="88"/>
  <c r="B372" i="88"/>
  <c r="B371" i="88"/>
  <c r="B370" i="88"/>
  <c r="B369" i="88"/>
  <c r="B368" i="88"/>
  <c r="B367" i="88"/>
  <c r="B366" i="88"/>
  <c r="B365" i="88"/>
  <c r="B364" i="88"/>
  <c r="B363" i="88"/>
  <c r="B362" i="88"/>
  <c r="B361" i="88"/>
  <c r="B360" i="88"/>
  <c r="B359" i="88"/>
  <c r="B358" i="88"/>
  <c r="B357" i="88"/>
  <c r="B356" i="88"/>
  <c r="B355" i="88"/>
  <c r="B354" i="88"/>
  <c r="B353" i="88"/>
  <c r="B352" i="88"/>
  <c r="B351" i="88"/>
  <c r="B350" i="88"/>
  <c r="B349" i="88"/>
  <c r="B348" i="88"/>
  <c r="B347" i="88"/>
  <c r="B346" i="88"/>
  <c r="B345" i="88"/>
  <c r="B344" i="88"/>
  <c r="B343" i="88"/>
  <c r="B342" i="88"/>
  <c r="B341" i="88"/>
  <c r="B340" i="88"/>
  <c r="B339" i="88"/>
  <c r="B338" i="88"/>
  <c r="B337" i="88"/>
  <c r="B336" i="88"/>
  <c r="B335" i="88"/>
  <c r="B334" i="88"/>
  <c r="B333" i="88"/>
  <c r="B332" i="88"/>
  <c r="B331" i="88"/>
  <c r="B330" i="88"/>
  <c r="B329" i="88"/>
  <c r="B328" i="88"/>
  <c r="B327" i="88"/>
  <c r="B326" i="88"/>
  <c r="B325" i="88"/>
  <c r="B324" i="88"/>
  <c r="B323" i="88"/>
  <c r="B322" i="88"/>
  <c r="B321" i="88"/>
  <c r="B320" i="88"/>
  <c r="B319" i="88"/>
  <c r="B318" i="88"/>
  <c r="B317" i="88"/>
  <c r="B316" i="88"/>
  <c r="B315" i="88"/>
  <c r="B314" i="88"/>
  <c r="B313" i="88"/>
  <c r="B312" i="88"/>
  <c r="B311" i="88"/>
  <c r="B310" i="88"/>
  <c r="B309" i="88"/>
  <c r="B308" i="88"/>
  <c r="B307" i="88"/>
  <c r="B306" i="88"/>
  <c r="B305" i="88"/>
  <c r="B304" i="88"/>
  <c r="B303" i="88"/>
  <c r="B302" i="88"/>
  <c r="B301" i="88"/>
  <c r="B300" i="88"/>
  <c r="B299" i="88"/>
  <c r="B298" i="88"/>
  <c r="B297" i="88"/>
  <c r="B296" i="88"/>
  <c r="B295" i="88"/>
  <c r="B294" i="88"/>
  <c r="B293" i="88"/>
  <c r="B292" i="88"/>
  <c r="B291" i="88"/>
  <c r="B290" i="88"/>
  <c r="B289" i="88"/>
  <c r="B288" i="88"/>
  <c r="B287" i="88"/>
  <c r="B286" i="88"/>
  <c r="B285" i="88"/>
  <c r="B284" i="88"/>
  <c r="B283" i="88"/>
  <c r="B282" i="88"/>
  <c r="B281" i="88"/>
  <c r="B280" i="88"/>
  <c r="B279" i="88"/>
  <c r="B278" i="88"/>
  <c r="B277" i="88"/>
  <c r="B276" i="88"/>
  <c r="B275" i="88"/>
  <c r="B274" i="88"/>
  <c r="B273" i="88"/>
  <c r="B272" i="88"/>
  <c r="B271" i="88"/>
  <c r="B270" i="88"/>
  <c r="B269" i="88"/>
  <c r="B268" i="88"/>
  <c r="B267" i="88"/>
  <c r="B266" i="88"/>
  <c r="B265" i="88"/>
  <c r="B264" i="88"/>
  <c r="B263" i="88"/>
  <c r="B262" i="88"/>
  <c r="B261" i="88"/>
  <c r="B260" i="88"/>
  <c r="B259" i="88"/>
  <c r="B258" i="88"/>
  <c r="B257" i="88"/>
  <c r="B256" i="88"/>
  <c r="B255" i="88"/>
  <c r="B254" i="88"/>
  <c r="B253" i="88"/>
  <c r="B252" i="88"/>
  <c r="B251" i="88"/>
  <c r="B250" i="88"/>
  <c r="B249" i="88"/>
  <c r="B248" i="88"/>
  <c r="B247" i="88"/>
  <c r="B246" i="88"/>
  <c r="B245" i="88"/>
  <c r="B244" i="88"/>
  <c r="B243" i="88"/>
  <c r="B242" i="88"/>
  <c r="B241" i="88"/>
  <c r="B240" i="88"/>
  <c r="B239" i="88"/>
  <c r="B238" i="88"/>
  <c r="B237" i="88"/>
  <c r="B236" i="88"/>
  <c r="B235" i="88"/>
  <c r="B234" i="88"/>
  <c r="B233" i="88"/>
  <c r="B232" i="88"/>
  <c r="B231" i="88"/>
  <c r="B230" i="88"/>
  <c r="B229" i="88"/>
  <c r="B228" i="88"/>
  <c r="B227" i="88"/>
  <c r="B226" i="88"/>
  <c r="B225" i="88"/>
  <c r="B224" i="88"/>
  <c r="B223" i="88"/>
  <c r="B222" i="88"/>
  <c r="B221" i="88"/>
  <c r="B220" i="88"/>
  <c r="B219" i="88"/>
  <c r="B218" i="88"/>
  <c r="B217" i="88"/>
  <c r="B216" i="88"/>
  <c r="B215" i="88"/>
  <c r="B214" i="88"/>
  <c r="B213" i="88"/>
  <c r="B212" i="88"/>
  <c r="B211" i="88"/>
  <c r="B210" i="88"/>
  <c r="B209" i="88"/>
  <c r="B208" i="88"/>
  <c r="B207" i="88"/>
  <c r="B206" i="88"/>
  <c r="B205" i="88"/>
  <c r="B204" i="88"/>
  <c r="C204" i="88"/>
  <c r="C205" i="88" s="1"/>
  <c r="C206" i="88" s="1"/>
  <c r="C207" i="88" s="1"/>
  <c r="C208" i="88" s="1"/>
  <c r="C209" i="88" s="1"/>
  <c r="C210" i="88" s="1"/>
  <c r="C211" i="88" s="1"/>
  <c r="C212" i="88" s="1"/>
  <c r="C213" i="88" s="1"/>
  <c r="C214" i="88" s="1"/>
  <c r="C215" i="88" s="1"/>
  <c r="C216" i="88" s="1"/>
  <c r="C217" i="88" s="1"/>
  <c r="C218" i="88" s="1"/>
  <c r="C219" i="88" s="1"/>
  <c r="C220" i="88" s="1"/>
  <c r="C221" i="88" s="1"/>
  <c r="C222" i="88" s="1"/>
  <c r="C223" i="88" s="1"/>
  <c r="C224" i="88" s="1"/>
  <c r="C225" i="88" s="1"/>
  <c r="C226" i="88" s="1"/>
  <c r="C227" i="88" s="1"/>
  <c r="C228" i="88" s="1"/>
  <c r="C229" i="88" s="1"/>
  <c r="C230" i="88" s="1"/>
  <c r="C231" i="88" s="1"/>
  <c r="C232" i="88" s="1"/>
  <c r="C233" i="88" s="1"/>
  <c r="C234" i="88" s="1"/>
  <c r="C235" i="88" s="1"/>
  <c r="C236" i="88" s="1"/>
  <c r="C237" i="88" s="1"/>
  <c r="C238" i="88" s="1"/>
  <c r="C239" i="88" s="1"/>
  <c r="C240" i="88" s="1"/>
  <c r="C241" i="88" s="1"/>
  <c r="C242" i="88" s="1"/>
  <c r="C243" i="88" s="1"/>
  <c r="C244" i="88" s="1"/>
  <c r="C245" i="88" s="1"/>
  <c r="C246" i="88" s="1"/>
  <c r="C247" i="88" s="1"/>
  <c r="C248" i="88" s="1"/>
  <c r="C249" i="88" s="1"/>
  <c r="C250" i="88" s="1"/>
  <c r="C251" i="88" s="1"/>
  <c r="C252" i="88" s="1"/>
  <c r="C253" i="88" s="1"/>
  <c r="C254" i="88" s="1"/>
  <c r="C255" i="88" s="1"/>
  <c r="C256" i="88" s="1"/>
  <c r="C257" i="88" s="1"/>
  <c r="C258" i="88" s="1"/>
  <c r="C259" i="88" s="1"/>
  <c r="C260" i="88" s="1"/>
  <c r="C261" i="88" s="1"/>
  <c r="C262" i="88" s="1"/>
  <c r="C263" i="88" s="1"/>
  <c r="C264" i="88" s="1"/>
  <c r="C265" i="88" s="1"/>
  <c r="C266" i="88" s="1"/>
  <c r="C267" i="88" s="1"/>
  <c r="C268" i="88" s="1"/>
  <c r="C269" i="88" s="1"/>
  <c r="C270" i="88" s="1"/>
  <c r="C271" i="88" s="1"/>
  <c r="C272" i="88" s="1"/>
  <c r="C273" i="88" s="1"/>
  <c r="C274" i="88" s="1"/>
  <c r="C275" i="88" s="1"/>
  <c r="C276" i="88" s="1"/>
  <c r="C277" i="88" s="1"/>
  <c r="C278" i="88" s="1"/>
  <c r="C279" i="88" s="1"/>
  <c r="C280" i="88" s="1"/>
  <c r="C281" i="88" s="1"/>
  <c r="C282" i="88" s="1"/>
  <c r="C283" i="88" s="1"/>
  <c r="C284" i="88" s="1"/>
  <c r="C285" i="88" s="1"/>
  <c r="C286" i="88" s="1"/>
  <c r="C287" i="88" s="1"/>
  <c r="C288" i="88" s="1"/>
  <c r="C289" i="88" s="1"/>
  <c r="C290" i="88" s="1"/>
  <c r="C291" i="88" s="1"/>
  <c r="C292" i="88" s="1"/>
  <c r="C293" i="88" s="1"/>
  <c r="C294" i="88" s="1"/>
  <c r="C295" i="88" s="1"/>
  <c r="C296" i="88" s="1"/>
  <c r="C297" i="88" s="1"/>
  <c r="C298" i="88" s="1"/>
  <c r="C299" i="88" s="1"/>
  <c r="C300" i="88" s="1"/>
  <c r="C301" i="88" s="1"/>
  <c r="C302" i="88" s="1"/>
  <c r="C303" i="88" s="1"/>
  <c r="C304" i="88" s="1"/>
  <c r="C305" i="88" s="1"/>
  <c r="C306" i="88" s="1"/>
  <c r="C307" i="88" s="1"/>
  <c r="C308" i="88" s="1"/>
  <c r="C309" i="88" s="1"/>
  <c r="C310" i="88" s="1"/>
  <c r="C311" i="88" s="1"/>
  <c r="C312" i="88" s="1"/>
  <c r="C313" i="88" s="1"/>
  <c r="C314" i="88" s="1"/>
  <c r="C315" i="88" s="1"/>
  <c r="C316" i="88" s="1"/>
  <c r="C317" i="88" s="1"/>
  <c r="C318" i="88" s="1"/>
  <c r="C319" i="88" s="1"/>
  <c r="C320" i="88" s="1"/>
  <c r="C321" i="88" s="1"/>
  <c r="C322" i="88" s="1"/>
  <c r="C323" i="88" s="1"/>
  <c r="C324" i="88" s="1"/>
  <c r="C325" i="88" s="1"/>
  <c r="C326" i="88" s="1"/>
  <c r="C327" i="88" s="1"/>
  <c r="C328" i="88" s="1"/>
  <c r="C329" i="88" s="1"/>
  <c r="C330" i="88" s="1"/>
  <c r="C331" i="88" s="1"/>
  <c r="C332" i="88" s="1"/>
  <c r="C333" i="88" s="1"/>
  <c r="C334" i="88" s="1"/>
  <c r="C335" i="88" s="1"/>
  <c r="C336" i="88" s="1"/>
  <c r="C337" i="88" s="1"/>
  <c r="C338" i="88" s="1"/>
  <c r="C339" i="88" s="1"/>
  <c r="C340" i="88" s="1"/>
  <c r="C341" i="88" s="1"/>
  <c r="C342" i="88" s="1"/>
  <c r="C343" i="88" s="1"/>
  <c r="C344" i="88" s="1"/>
  <c r="C345" i="88" s="1"/>
  <c r="C346" i="88" s="1"/>
  <c r="C347" i="88" s="1"/>
  <c r="C348" i="88" s="1"/>
  <c r="C349" i="88" s="1"/>
  <c r="C350" i="88" s="1"/>
  <c r="C351" i="88" s="1"/>
  <c r="C352" i="88" s="1"/>
  <c r="C353" i="88" s="1"/>
  <c r="C354" i="88" s="1"/>
  <c r="C355" i="88" s="1"/>
  <c r="C356" i="88" s="1"/>
  <c r="C357" i="88" s="1"/>
  <c r="C358" i="88" s="1"/>
  <c r="C359" i="88" s="1"/>
  <c r="C360" i="88" s="1"/>
  <c r="C361" i="88" s="1"/>
  <c r="C362" i="88" s="1"/>
  <c r="C363" i="88" s="1"/>
  <c r="C364" i="88" s="1"/>
  <c r="C365" i="88" s="1"/>
  <c r="C366" i="88" s="1"/>
  <c r="C367" i="88" s="1"/>
  <c r="C368" i="88" s="1"/>
  <c r="C369" i="88" s="1"/>
  <c r="C370" i="88" s="1"/>
  <c r="C371" i="88" s="1"/>
  <c r="C372" i="88" s="1"/>
  <c r="C373" i="88" s="1"/>
  <c r="C374" i="88" s="1"/>
  <c r="C375" i="88" s="1"/>
  <c r="C376" i="88" s="1"/>
  <c r="C377" i="88" s="1"/>
  <c r="C378" i="88" s="1"/>
  <c r="C379" i="88" s="1"/>
  <c r="C380" i="88" s="1"/>
  <c r="C381" i="88" s="1"/>
  <c r="C382" i="88" s="1"/>
  <c r="C383" i="88" s="1"/>
  <c r="C384" i="88" s="1"/>
  <c r="C385" i="88" s="1"/>
  <c r="C386" i="88" s="1"/>
  <c r="C387" i="88" s="1"/>
  <c r="C388" i="88" s="1"/>
  <c r="C389" i="88" s="1"/>
  <c r="C390" i="88" s="1"/>
  <c r="C391" i="88" s="1"/>
  <c r="C392" i="88" s="1"/>
  <c r="C393" i="88" s="1"/>
  <c r="C394" i="88" s="1"/>
  <c r="C395" i="88" s="1"/>
  <c r="C396" i="88" s="1"/>
  <c r="C397" i="88" s="1"/>
  <c r="C398" i="88" s="1"/>
  <c r="C399" i="88" s="1"/>
  <c r="C400" i="88" s="1"/>
  <c r="C401" i="88" s="1"/>
  <c r="C402" i="88" s="1"/>
  <c r="C403" i="88" s="1"/>
  <c r="C404" i="88" s="1"/>
  <c r="C405" i="88" s="1"/>
  <c r="C406" i="88" s="1"/>
  <c r="C407" i="88" s="1"/>
  <c r="C408" i="88" s="1"/>
  <c r="C409" i="88" s="1"/>
  <c r="C410" i="88" s="1"/>
  <c r="C411" i="88" s="1"/>
  <c r="C412" i="88" s="1"/>
  <c r="C413" i="88" s="1"/>
  <c r="C414" i="88" s="1"/>
  <c r="C415" i="88" s="1"/>
  <c r="C416" i="88" s="1"/>
  <c r="C417" i="88" s="1"/>
  <c r="C418" i="88" s="1"/>
  <c r="C419" i="88" s="1"/>
  <c r="C420" i="88" s="1"/>
  <c r="C421" i="88" s="1"/>
  <c r="C422" i="88" s="1"/>
  <c r="C423" i="88" s="1"/>
  <c r="C424" i="88" s="1"/>
  <c r="C425" i="88" s="1"/>
  <c r="C426" i="88" s="1"/>
  <c r="C427" i="88" s="1"/>
  <c r="C428" i="88" s="1"/>
  <c r="C429" i="88" s="1"/>
  <c r="C430" i="88" s="1"/>
  <c r="C431" i="88" s="1"/>
  <c r="C432" i="88" s="1"/>
  <c r="C433" i="88" s="1"/>
  <c r="C434" i="88" s="1"/>
  <c r="C435" i="88" s="1"/>
  <c r="C436" i="88" s="1"/>
  <c r="C437" i="88" s="1"/>
  <c r="C438" i="88" s="1"/>
  <c r="C439" i="88" s="1"/>
  <c r="C440" i="88" s="1"/>
  <c r="C441" i="88" s="1"/>
  <c r="C442" i="88" s="1"/>
  <c r="C443" i="88" s="1"/>
  <c r="C444" i="88" s="1"/>
  <c r="C445" i="88" s="1"/>
  <c r="C446" i="88" s="1"/>
  <c r="C447" i="88" s="1"/>
  <c r="C448" i="88" s="1"/>
  <c r="C449" i="88" s="1"/>
  <c r="C450" i="88" s="1"/>
  <c r="C451" i="88" s="1"/>
  <c r="C452" i="88" s="1"/>
  <c r="C453" i="88" s="1"/>
  <c r="C454" i="88" s="1"/>
  <c r="C455" i="88" s="1"/>
  <c r="C456" i="88" s="1"/>
  <c r="C457" i="88" s="1"/>
  <c r="C458" i="88" s="1"/>
  <c r="C459" i="88" s="1"/>
  <c r="C460" i="88" s="1"/>
  <c r="C461" i="88" s="1"/>
  <c r="C462" i="88" s="1"/>
  <c r="C463" i="88" s="1"/>
  <c r="C464" i="88" s="1"/>
  <c r="C465" i="88" s="1"/>
  <c r="C466" i="88" s="1"/>
  <c r="C467" i="88" s="1"/>
  <c r="C468" i="88" s="1"/>
  <c r="C469" i="88" s="1"/>
  <c r="C470" i="88" s="1"/>
  <c r="C471" i="88" s="1"/>
  <c r="C472" i="88" s="1"/>
  <c r="C473" i="88" s="1"/>
  <c r="C474" i="88" s="1"/>
  <c r="C475" i="88" s="1"/>
  <c r="C476" i="88" s="1"/>
  <c r="C477" i="88" s="1"/>
  <c r="C478" i="88" s="1"/>
  <c r="C479" i="88" s="1"/>
  <c r="C480" i="88" s="1"/>
  <c r="C481" i="88" s="1"/>
  <c r="C482" i="88" s="1"/>
  <c r="C483" i="88" s="1"/>
  <c r="C484" i="88" s="1"/>
  <c r="C485" i="88" s="1"/>
  <c r="C486" i="88" s="1"/>
  <c r="C487" i="88" s="1"/>
  <c r="C488" i="88" s="1"/>
  <c r="C489" i="88" s="1"/>
  <c r="C490" i="88" s="1"/>
  <c r="C491" i="88" s="1"/>
  <c r="C492" i="88" s="1"/>
  <c r="C493" i="88" s="1"/>
  <c r="C494" i="88" s="1"/>
  <c r="C495" i="88" s="1"/>
  <c r="C496" i="88" s="1"/>
  <c r="C497" i="88" s="1"/>
  <c r="C498" i="88" s="1"/>
  <c r="C499" i="88" s="1"/>
  <c r="C500" i="88" s="1"/>
  <c r="C501" i="88" s="1"/>
  <c r="C502" i="88" s="1"/>
  <c r="C503" i="88" s="1"/>
  <c r="C504" i="88" s="1"/>
  <c r="C505" i="88" s="1"/>
  <c r="C506" i="88" s="1"/>
  <c r="C507" i="88" s="1"/>
  <c r="C508" i="88" s="1"/>
  <c r="C509" i="88" s="1"/>
  <c r="C510" i="88" s="1"/>
  <c r="C511" i="88" s="1"/>
  <c r="C512" i="88" s="1"/>
  <c r="C513" i="88" s="1"/>
  <c r="C514" i="88" s="1"/>
  <c r="C515" i="88" s="1"/>
  <c r="C516" i="88" s="1"/>
  <c r="C517" i="88" s="1"/>
  <c r="C518" i="88" s="1"/>
  <c r="C519" i="88" s="1"/>
  <c r="C520" i="88" s="1"/>
  <c r="C521" i="88" s="1"/>
  <c r="C522" i="88" s="1"/>
  <c r="C523" i="88" s="1"/>
  <c r="C524" i="88" s="1"/>
  <c r="C525" i="88" s="1"/>
  <c r="C526" i="88" s="1"/>
  <c r="C527" i="88" s="1"/>
  <c r="C528" i="88" s="1"/>
  <c r="C529" i="88" s="1"/>
  <c r="C530" i="88" s="1"/>
  <c r="C531" i="88" s="1"/>
  <c r="C532" i="88" s="1"/>
  <c r="C533" i="88" s="1"/>
  <c r="C534" i="88" s="1"/>
  <c r="C535" i="88" s="1"/>
  <c r="C536" i="88" s="1"/>
  <c r="C537" i="88" s="1"/>
  <c r="C538" i="88" s="1"/>
  <c r="C539" i="88" s="1"/>
  <c r="C540" i="88" s="1"/>
  <c r="C541" i="88" s="1"/>
  <c r="C542" i="88" s="1"/>
  <c r="C543" i="88" s="1"/>
  <c r="C544" i="88" s="1"/>
  <c r="C545" i="88" s="1"/>
  <c r="C546" i="88" s="1"/>
  <c r="C547" i="88" s="1"/>
  <c r="C548" i="88" s="1"/>
  <c r="C549" i="88" s="1"/>
  <c r="C550" i="88" s="1"/>
  <c r="C551" i="88" s="1"/>
  <c r="C552" i="88" s="1"/>
  <c r="C553" i="88" s="1"/>
  <c r="C554" i="88" s="1"/>
  <c r="C555" i="88" s="1"/>
  <c r="C556" i="88" s="1"/>
  <c r="C557" i="88" s="1"/>
  <c r="C558" i="88" s="1"/>
  <c r="C559" i="88" s="1"/>
  <c r="C560" i="88" s="1"/>
  <c r="C561" i="88" s="1"/>
  <c r="C562" i="88" s="1"/>
  <c r="C563" i="88" s="1"/>
  <c r="C564" i="88" s="1"/>
  <c r="C565" i="88" s="1"/>
  <c r="C566" i="88" s="1"/>
  <c r="C567" i="88" s="1"/>
  <c r="C568" i="88" s="1"/>
  <c r="C569" i="88" s="1"/>
  <c r="C570" i="88" s="1"/>
  <c r="C571" i="88" s="1"/>
  <c r="C572" i="88" s="1"/>
  <c r="C573" i="88" s="1"/>
  <c r="C574" i="88" s="1"/>
  <c r="C575" i="88" s="1"/>
  <c r="C576" i="88" s="1"/>
  <c r="C577" i="88" s="1"/>
  <c r="C578" i="88" s="1"/>
  <c r="C579" i="88" s="1"/>
  <c r="C580" i="88" s="1"/>
  <c r="C581" i="88" s="1"/>
  <c r="C582" i="88" s="1"/>
  <c r="C583" i="88" s="1"/>
  <c r="C584" i="88" s="1"/>
  <c r="C585" i="88" s="1"/>
  <c r="C586" i="88" s="1"/>
  <c r="C587" i="88" s="1"/>
  <c r="C588" i="88" s="1"/>
  <c r="C589" i="88" s="1"/>
  <c r="C590" i="88" s="1"/>
  <c r="C591" i="88" s="1"/>
  <c r="C592" i="88" s="1"/>
  <c r="C593" i="88" s="1"/>
  <c r="C594" i="88" s="1"/>
  <c r="C595" i="88" s="1"/>
  <c r="C596" i="88" s="1"/>
  <c r="C597" i="88" s="1"/>
  <c r="C598" i="88" s="1"/>
  <c r="C599" i="88" s="1"/>
  <c r="C600" i="88" s="1"/>
  <c r="C601" i="88" s="1"/>
  <c r="C602" i="88" s="1"/>
  <c r="C603" i="88" s="1"/>
  <c r="C604" i="88" s="1"/>
  <c r="C605" i="88" s="1"/>
  <c r="C606" i="88" s="1"/>
  <c r="C607" i="88" s="1"/>
  <c r="C608" i="88" s="1"/>
  <c r="C609" i="88" s="1"/>
  <c r="C610" i="88" s="1"/>
  <c r="C611" i="88" s="1"/>
  <c r="C612" i="88" s="1"/>
  <c r="C613" i="88" s="1"/>
  <c r="C614" i="88" s="1"/>
  <c r="C615" i="88" s="1"/>
  <c r="C616" i="88" s="1"/>
  <c r="C617" i="88" s="1"/>
  <c r="C618" i="88" s="1"/>
  <c r="C619" i="88" s="1"/>
  <c r="C620" i="88" s="1"/>
  <c r="C621" i="88" s="1"/>
  <c r="C622" i="88" s="1"/>
  <c r="C623" i="88" s="1"/>
  <c r="C624" i="88" s="1"/>
  <c r="C625" i="88" s="1"/>
  <c r="C626" i="88" s="1"/>
  <c r="C627" i="88" s="1"/>
  <c r="C628" i="88" s="1"/>
  <c r="C629" i="88" s="1"/>
  <c r="C630" i="88" s="1"/>
  <c r="C631" i="88" s="1"/>
  <c r="C632" i="88" s="1"/>
  <c r="C633" i="88" s="1"/>
  <c r="C634" i="88" s="1"/>
  <c r="C635" i="88" s="1"/>
  <c r="C636" i="88" s="1"/>
  <c r="C637" i="88" s="1"/>
  <c r="C638" i="88" s="1"/>
  <c r="C639" i="88" s="1"/>
  <c r="C640" i="88" s="1"/>
  <c r="C641" i="88" s="1"/>
  <c r="C642" i="88" s="1"/>
  <c r="C643" i="88" s="1"/>
  <c r="C644" i="88" s="1"/>
  <c r="C645" i="88" s="1"/>
  <c r="C646" i="88" s="1"/>
  <c r="C647" i="88" s="1"/>
  <c r="C648" i="88" s="1"/>
  <c r="C649" i="88" s="1"/>
  <c r="C650" i="88" s="1"/>
  <c r="C651" i="88" s="1"/>
  <c r="C652" i="88" s="1"/>
  <c r="C653" i="88" s="1"/>
  <c r="C654" i="88" s="1"/>
  <c r="C655" i="88" s="1"/>
  <c r="C656" i="88" s="1"/>
  <c r="C657" i="88" s="1"/>
  <c r="C658" i="88" s="1"/>
  <c r="C659" i="88" s="1"/>
  <c r="C660" i="88" s="1"/>
  <c r="C661" i="88" s="1"/>
  <c r="C662" i="88" s="1"/>
  <c r="C663" i="88" s="1"/>
  <c r="C664" i="88" s="1"/>
  <c r="C665" i="88" s="1"/>
  <c r="C666" i="88" s="1"/>
  <c r="C667" i="88" s="1"/>
  <c r="C668" i="88" s="1"/>
  <c r="C669" i="88" s="1"/>
  <c r="C670" i="88" s="1"/>
  <c r="C671" i="88" s="1"/>
  <c r="C672" i="88" s="1"/>
  <c r="C673" i="88" s="1"/>
  <c r="C674" i="88" s="1"/>
  <c r="C675" i="88" s="1"/>
  <c r="C676" i="88" s="1"/>
  <c r="C677" i="88" s="1"/>
  <c r="C678" i="88" s="1"/>
  <c r="C679" i="88" s="1"/>
  <c r="C680" i="88" s="1"/>
  <c r="C681" i="88" s="1"/>
  <c r="C682" i="88" s="1"/>
  <c r="C683" i="88" s="1"/>
  <c r="C684" i="88" s="1"/>
  <c r="C685" i="88" s="1"/>
  <c r="C686" i="88" s="1"/>
  <c r="C687" i="88" s="1"/>
  <c r="C688" i="88" s="1"/>
  <c r="C689" i="88" s="1"/>
  <c r="C690" i="88" s="1"/>
  <c r="C691" i="88" s="1"/>
  <c r="C692" i="88" s="1"/>
  <c r="C693" i="88" s="1"/>
  <c r="C694" i="88" s="1"/>
  <c r="C695" i="88" s="1"/>
  <c r="C696" i="88" s="1"/>
  <c r="C697" i="88" s="1"/>
  <c r="C698" i="88" s="1"/>
  <c r="C699" i="88" s="1"/>
  <c r="C700" i="88" s="1"/>
  <c r="C701" i="88" s="1"/>
  <c r="C702" i="88" s="1"/>
  <c r="C703" i="88" s="1"/>
  <c r="C704" i="88" s="1"/>
  <c r="C705" i="88" s="1"/>
  <c r="C706" i="88" s="1"/>
  <c r="C707" i="88" s="1"/>
  <c r="C708" i="88" s="1"/>
  <c r="C709" i="88" s="1"/>
  <c r="C710" i="88" s="1"/>
  <c r="C711" i="88" s="1"/>
  <c r="C712" i="88" s="1"/>
  <c r="C713" i="88" s="1"/>
  <c r="C714" i="88" s="1"/>
  <c r="C715" i="88" s="1"/>
  <c r="C716" i="88" s="1"/>
  <c r="C717" i="88" s="1"/>
  <c r="C718" i="88" s="1"/>
  <c r="C719" i="88" s="1"/>
  <c r="C720" i="88" s="1"/>
  <c r="C721" i="88" s="1"/>
  <c r="C722" i="88" s="1"/>
  <c r="C723" i="88" s="1"/>
  <c r="C724" i="88" s="1"/>
  <c r="C725" i="88" s="1"/>
  <c r="C726" i="88" s="1"/>
  <c r="C727" i="88" s="1"/>
  <c r="C728" i="88" s="1"/>
  <c r="C729" i="88" s="1"/>
  <c r="C730" i="88" s="1"/>
  <c r="C731" i="88" s="1"/>
  <c r="C732" i="88" s="1"/>
  <c r="C733" i="88" s="1"/>
  <c r="C734" i="88" s="1"/>
  <c r="C735" i="88" s="1"/>
  <c r="C736" i="88" s="1"/>
  <c r="C737" i="88" s="1"/>
  <c r="C738" i="88" s="1"/>
  <c r="C739" i="88" s="1"/>
  <c r="C740" i="88" s="1"/>
  <c r="C741" i="88" s="1"/>
  <c r="C742" i="88" s="1"/>
  <c r="C743" i="88" s="1"/>
  <c r="C744" i="88" s="1"/>
  <c r="C745" i="88" s="1"/>
  <c r="C746" i="88" s="1"/>
  <c r="C747" i="88" s="1"/>
  <c r="C748" i="88" s="1"/>
  <c r="C749" i="88" s="1"/>
  <c r="C750" i="88" s="1"/>
  <c r="C751" i="88" s="1"/>
  <c r="C752" i="88" s="1"/>
  <c r="C753" i="88" s="1"/>
  <c r="C754" i="88" s="1"/>
  <c r="C755" i="88" s="1"/>
  <c r="C756" i="88" s="1"/>
  <c r="C757" i="88" s="1"/>
  <c r="C758" i="88" s="1"/>
  <c r="C759" i="88" s="1"/>
  <c r="C760" i="88" s="1"/>
  <c r="C761" i="88" s="1"/>
  <c r="C762" i="88" s="1"/>
  <c r="C763" i="88" s="1"/>
  <c r="C764" i="88" s="1"/>
  <c r="C765" i="88" s="1"/>
  <c r="C766" i="88" s="1"/>
  <c r="C767" i="88" s="1"/>
  <c r="C768" i="88" s="1"/>
  <c r="C769" i="88" s="1"/>
  <c r="C770" i="88" s="1"/>
  <c r="C771" i="88" s="1"/>
  <c r="C772" i="88" s="1"/>
  <c r="C773" i="88" s="1"/>
  <c r="C774" i="88" s="1"/>
  <c r="C775" i="88" s="1"/>
  <c r="C776" i="88" s="1"/>
  <c r="C777" i="88" s="1"/>
  <c r="C778" i="88" s="1"/>
  <c r="C779" i="88" s="1"/>
  <c r="C780" i="88" s="1"/>
  <c r="C781" i="88" s="1"/>
  <c r="C782" i="88" s="1"/>
  <c r="C783" i="88" s="1"/>
  <c r="C784" i="88" s="1"/>
  <c r="C785" i="88" s="1"/>
  <c r="C786" i="88" s="1"/>
  <c r="C787" i="88" s="1"/>
  <c r="C788" i="88" s="1"/>
  <c r="C789" i="88" s="1"/>
  <c r="C790" i="88" s="1"/>
  <c r="C791" i="88" s="1"/>
  <c r="C792" i="88" s="1"/>
  <c r="C793" i="88" s="1"/>
  <c r="C794" i="88" s="1"/>
  <c r="C795" i="88" s="1"/>
  <c r="C796" i="88" s="1"/>
  <c r="C797" i="88" s="1"/>
  <c r="C798" i="88" s="1"/>
  <c r="C799" i="88" s="1"/>
  <c r="C800" i="88" s="1"/>
  <c r="C801" i="88" s="1"/>
  <c r="I4" i="82"/>
  <c r="I3" i="82"/>
  <c r="J5" i="85"/>
  <c r="I3" i="65"/>
  <c r="L3" i="65" s="1"/>
  <c r="J6" i="76"/>
  <c r="L6" i="76" s="1"/>
  <c r="I5" i="76"/>
  <c r="L5" i="76" s="1"/>
  <c r="I4" i="76"/>
  <c r="L4" i="76" s="1"/>
  <c r="L9" i="80"/>
  <c r="H3" i="57"/>
  <c r="H5" i="57" s="1"/>
  <c r="J51" i="49" s="1"/>
  <c r="I8" i="80"/>
  <c r="L8" i="80" s="1"/>
  <c r="M8" i="80" s="1"/>
  <c r="G4" i="57"/>
  <c r="J4" i="57" s="1"/>
  <c r="G3" i="57"/>
  <c r="D31" i="55"/>
  <c r="D41" i="49" s="1"/>
  <c r="J30" i="55"/>
  <c r="L30" i="55" s="1"/>
  <c r="L48" i="54"/>
  <c r="L47" i="54"/>
  <c r="J39" i="54"/>
  <c r="I46" i="54"/>
  <c r="L46" i="54" s="1"/>
  <c r="I45" i="54"/>
  <c r="L45" i="54" s="1"/>
  <c r="L44" i="54"/>
  <c r="J40" i="54"/>
  <c r="L40" i="54" s="1"/>
  <c r="I35" i="54"/>
  <c r="L35" i="54" s="1"/>
  <c r="I34" i="54"/>
  <c r="L27" i="54"/>
  <c r="J25" i="62"/>
  <c r="I8" i="62"/>
  <c r="I24" i="51"/>
  <c r="H12" i="52"/>
  <c r="G34" i="50"/>
  <c r="G24" i="50"/>
  <c r="G18" i="50"/>
  <c r="J18" i="50" s="1"/>
  <c r="G15" i="50"/>
  <c r="G14" i="50"/>
  <c r="G7" i="50"/>
  <c r="C7" i="55"/>
  <c r="C39" i="49" s="1"/>
  <c r="E53" i="55"/>
  <c r="L3" i="51"/>
  <c r="K53" i="49"/>
  <c r="I53" i="49"/>
  <c r="G53" i="49"/>
  <c r="E52" i="49"/>
  <c r="L32" i="54"/>
  <c r="H16" i="50"/>
  <c r="H15" i="50"/>
  <c r="G16" i="50"/>
  <c r="F16" i="50"/>
  <c r="G9" i="51"/>
  <c r="K9" i="51"/>
  <c r="K5" i="49" s="1"/>
  <c r="J9" i="51"/>
  <c r="J5" i="49" s="1"/>
  <c r="F5" i="49"/>
  <c r="E5" i="49"/>
  <c r="C9" i="51"/>
  <c r="H8" i="51"/>
  <c r="H8" i="50"/>
  <c r="H10" i="50"/>
  <c r="F11" i="59"/>
  <c r="I3" i="55"/>
  <c r="I3" i="54"/>
  <c r="I8" i="54" s="1"/>
  <c r="L4" i="54"/>
  <c r="G29" i="50"/>
  <c r="G10" i="50"/>
  <c r="I16" i="54"/>
  <c r="I7" i="52"/>
  <c r="L7" i="52" s="1"/>
  <c r="I3" i="76"/>
  <c r="L3" i="76" s="1"/>
  <c r="G3" i="50"/>
  <c r="G31" i="50"/>
  <c r="I11" i="59"/>
  <c r="J10" i="59"/>
  <c r="L10" i="59" s="1"/>
  <c r="L26" i="54"/>
  <c r="G25" i="50"/>
  <c r="E56" i="63"/>
  <c r="K58" i="54"/>
  <c r="L58" i="54"/>
  <c r="L62" i="54" s="1"/>
  <c r="J58" i="54"/>
  <c r="J59" i="54"/>
  <c r="F35" i="62"/>
  <c r="H35" i="62" s="1"/>
  <c r="F28" i="52"/>
  <c r="H28" i="52" s="1"/>
  <c r="K5" i="82"/>
  <c r="C5" i="82"/>
  <c r="H6" i="59"/>
  <c r="G6" i="85"/>
  <c r="G54" i="49" s="1"/>
  <c r="C6" i="85"/>
  <c r="C54" i="49" s="1"/>
  <c r="C7" i="76"/>
  <c r="C10" i="80"/>
  <c r="C11" i="80" s="1"/>
  <c r="C5" i="57"/>
  <c r="C51" i="49" s="1"/>
  <c r="E37" i="62"/>
  <c r="D47" i="49"/>
  <c r="E47" i="49"/>
  <c r="D29" i="52"/>
  <c r="D16" i="49" s="1"/>
  <c r="K24" i="52"/>
  <c r="G24" i="52"/>
  <c r="G15" i="49" s="1"/>
  <c r="D24" i="52"/>
  <c r="D15" i="49" s="1"/>
  <c r="C24" i="52"/>
  <c r="C15" i="49" s="1"/>
  <c r="J23" i="52"/>
  <c r="F23" i="52"/>
  <c r="H23" i="52" s="1"/>
  <c r="J22" i="52"/>
  <c r="L22" i="52" s="1"/>
  <c r="F22" i="52"/>
  <c r="H20" i="52"/>
  <c r="F40" i="54"/>
  <c r="H40" i="54" s="1"/>
  <c r="F39" i="54"/>
  <c r="C41" i="54"/>
  <c r="K41" i="54"/>
  <c r="G41" i="54"/>
  <c r="D41" i="54"/>
  <c r="H38" i="54"/>
  <c r="H35" i="54"/>
  <c r="H34" i="54"/>
  <c r="F7" i="76"/>
  <c r="F46" i="49" s="1"/>
  <c r="C49" i="54"/>
  <c r="C38" i="49" s="1"/>
  <c r="C8" i="54"/>
  <c r="C15" i="63"/>
  <c r="C26" i="49" s="1"/>
  <c r="C6" i="63"/>
  <c r="C25" i="49" s="1"/>
  <c r="C30" i="62"/>
  <c r="G27" i="62"/>
  <c r="G22" i="49" s="1"/>
  <c r="I58" i="54"/>
  <c r="H8" i="80"/>
  <c r="H3" i="80"/>
  <c r="D10" i="80"/>
  <c r="D11" i="80" s="1"/>
  <c r="H3" i="54"/>
  <c r="H4" i="54"/>
  <c r="H10" i="51"/>
  <c r="K11" i="51"/>
  <c r="K4" i="49" s="1"/>
  <c r="G11" i="51"/>
  <c r="J11" i="51"/>
  <c r="J4" i="49" s="1"/>
  <c r="D11" i="51"/>
  <c r="E11" i="51"/>
  <c r="E4" i="49" s="1"/>
  <c r="F11" i="51"/>
  <c r="F4" i="49" s="1"/>
  <c r="C11" i="51"/>
  <c r="K49" i="54"/>
  <c r="K38" i="49" s="1"/>
  <c r="J38" i="49"/>
  <c r="G49" i="54"/>
  <c r="E38" i="49"/>
  <c r="D49" i="54"/>
  <c r="D38" i="49" s="1"/>
  <c r="F48" i="54"/>
  <c r="H48" i="54" s="1"/>
  <c r="F47" i="54"/>
  <c r="H47" i="54" s="1"/>
  <c r="H46" i="54"/>
  <c r="H45" i="54"/>
  <c r="H44" i="54"/>
  <c r="F5" i="81"/>
  <c r="G7" i="55"/>
  <c r="G39" i="49" s="1"/>
  <c r="G15" i="55"/>
  <c r="G8" i="65"/>
  <c r="F9" i="80"/>
  <c r="F10" i="80" s="1"/>
  <c r="C8" i="65"/>
  <c r="C49" i="49" s="1"/>
  <c r="H5" i="85"/>
  <c r="K54" i="49"/>
  <c r="E6" i="85"/>
  <c r="E54" i="49" s="1"/>
  <c r="D6" i="85"/>
  <c r="D54" i="49" s="1"/>
  <c r="F5" i="85"/>
  <c r="H3" i="85"/>
  <c r="C15" i="52"/>
  <c r="C13" i="49" s="1"/>
  <c r="C29" i="52"/>
  <c r="C16" i="49" s="1"/>
  <c r="K30" i="62"/>
  <c r="D30" i="62"/>
  <c r="G30" i="62"/>
  <c r="H28" i="62"/>
  <c r="F29" i="62"/>
  <c r="C19" i="52"/>
  <c r="C14" i="49" s="1"/>
  <c r="K29" i="52"/>
  <c r="G29" i="52"/>
  <c r="G16" i="49" s="1"/>
  <c r="L27" i="52"/>
  <c r="H25" i="52"/>
  <c r="K15" i="52"/>
  <c r="K13" i="49" s="1"/>
  <c r="G15" i="52"/>
  <c r="E13" i="49"/>
  <c r="D15" i="52"/>
  <c r="D13" i="49" s="1"/>
  <c r="J14" i="52"/>
  <c r="F14" i="52"/>
  <c r="H14" i="52" s="1"/>
  <c r="J13" i="52"/>
  <c r="L13" i="52" s="1"/>
  <c r="H11" i="52"/>
  <c r="K19" i="52"/>
  <c r="K14" i="49" s="1"/>
  <c r="G19" i="52"/>
  <c r="G14" i="49" s="1"/>
  <c r="D19" i="52"/>
  <c r="D14" i="49" s="1"/>
  <c r="H18" i="52"/>
  <c r="H16" i="52"/>
  <c r="H19" i="52" s="1"/>
  <c r="C21" i="62"/>
  <c r="H10" i="62"/>
  <c r="H3" i="62"/>
  <c r="H4" i="59"/>
  <c r="H7" i="59"/>
  <c r="H8" i="59"/>
  <c r="H9" i="59"/>
  <c r="F10" i="59"/>
  <c r="H10" i="59" s="1"/>
  <c r="F28" i="63"/>
  <c r="F27" i="63"/>
  <c r="H27" i="63" s="1"/>
  <c r="D28" i="51"/>
  <c r="D10" i="49" s="1"/>
  <c r="G33" i="54"/>
  <c r="G37" i="49" s="1"/>
  <c r="H26" i="54"/>
  <c r="H27" i="54"/>
  <c r="H25" i="54"/>
  <c r="F32" i="54"/>
  <c r="H32" i="54" s="1"/>
  <c r="F31" i="54"/>
  <c r="C33" i="54"/>
  <c r="H20" i="54"/>
  <c r="K6" i="63"/>
  <c r="H12" i="63"/>
  <c r="H11" i="63"/>
  <c r="D15" i="63"/>
  <c r="D26" i="49" s="1"/>
  <c r="G15" i="63"/>
  <c r="G26" i="49" s="1"/>
  <c r="K15" i="63"/>
  <c r="H7" i="63"/>
  <c r="F9" i="63"/>
  <c r="H9" i="63" s="1"/>
  <c r="F8" i="63"/>
  <c r="H8" i="63" s="1"/>
  <c r="D10" i="63"/>
  <c r="D24" i="49" s="1"/>
  <c r="G10" i="63"/>
  <c r="G25" i="49" s="1"/>
  <c r="K10" i="63"/>
  <c r="C10" i="63"/>
  <c r="C24" i="49" s="1"/>
  <c r="H3" i="63"/>
  <c r="F5" i="63"/>
  <c r="H5" i="63" s="1"/>
  <c r="D6" i="63"/>
  <c r="D25" i="49" s="1"/>
  <c r="G6" i="63"/>
  <c r="H17" i="63"/>
  <c r="C20" i="63"/>
  <c r="C27" i="49" s="1"/>
  <c r="E44" i="49"/>
  <c r="H21" i="55"/>
  <c r="F30" i="55"/>
  <c r="H30" i="55" s="1"/>
  <c r="F29" i="55"/>
  <c r="H29" i="55" s="1"/>
  <c r="H9" i="55"/>
  <c r="H4" i="55"/>
  <c r="H6" i="65"/>
  <c r="F53" i="49"/>
  <c r="C53" i="49"/>
  <c r="J53" i="49"/>
  <c r="H33" i="50"/>
  <c r="H31" i="50"/>
  <c r="H29" i="50"/>
  <c r="H3" i="50"/>
  <c r="K61" i="54"/>
  <c r="K60" i="54"/>
  <c r="M60" i="54" s="1"/>
  <c r="J57" i="54"/>
  <c r="J56" i="54"/>
  <c r="L23" i="54"/>
  <c r="L14" i="54"/>
  <c r="L12" i="77"/>
  <c r="L11" i="77"/>
  <c r="L9" i="77"/>
  <c r="L8" i="77"/>
  <c r="L7" i="77"/>
  <c r="L6" i="77"/>
  <c r="L5" i="77"/>
  <c r="L4" i="77"/>
  <c r="L3" i="77"/>
  <c r="D15" i="55"/>
  <c r="F62" i="54"/>
  <c r="J26" i="62"/>
  <c r="J4" i="51"/>
  <c r="J6" i="51"/>
  <c r="J4" i="52"/>
  <c r="L4" i="52" s="1"/>
  <c r="J5" i="52"/>
  <c r="L5" i="52" s="1"/>
  <c r="J9" i="52"/>
  <c r="L9" i="52" s="1"/>
  <c r="J8" i="52"/>
  <c r="L8" i="52" s="1"/>
  <c r="D10" i="52"/>
  <c r="D12" i="49" s="1"/>
  <c r="E42" i="52"/>
  <c r="D6" i="52"/>
  <c r="D11" i="49" s="1"/>
  <c r="C6" i="52"/>
  <c r="C11" i="49" s="1"/>
  <c r="C10" i="52"/>
  <c r="C12" i="49" s="1"/>
  <c r="J4" i="82"/>
  <c r="J3" i="82"/>
  <c r="F13" i="50"/>
  <c r="H13" i="50"/>
  <c r="J13" i="50" s="1"/>
  <c r="H9" i="77"/>
  <c r="H4" i="76"/>
  <c r="G13" i="77"/>
  <c r="J5" i="65"/>
  <c r="J48" i="49" s="1"/>
  <c r="K5" i="65"/>
  <c r="D15" i="54"/>
  <c r="D34" i="49" s="1"/>
  <c r="D36" i="49"/>
  <c r="H26" i="50"/>
  <c r="H25" i="50"/>
  <c r="H3" i="65"/>
  <c r="H5" i="65" s="1"/>
  <c r="G5" i="65"/>
  <c r="K48" i="49"/>
  <c r="K13" i="62"/>
  <c r="K20" i="49" s="1"/>
  <c r="H8" i="77"/>
  <c r="D45" i="49"/>
  <c r="G10" i="80"/>
  <c r="K10" i="80"/>
  <c r="K12" i="59"/>
  <c r="K15" i="55"/>
  <c r="K7" i="55"/>
  <c r="K21" i="62"/>
  <c r="K36" i="62"/>
  <c r="K27" i="62"/>
  <c r="K10" i="52"/>
  <c r="K12" i="49" s="1"/>
  <c r="K6" i="52"/>
  <c r="K7" i="51"/>
  <c r="H4" i="51"/>
  <c r="H3" i="59"/>
  <c r="H30" i="50"/>
  <c r="H4" i="77"/>
  <c r="H6" i="77"/>
  <c r="H7" i="77"/>
  <c r="H10" i="77"/>
  <c r="H13" i="77" s="1"/>
  <c r="F11" i="77"/>
  <c r="H11" i="77" s="1"/>
  <c r="F12" i="77"/>
  <c r="F13" i="77" s="1"/>
  <c r="C19" i="54"/>
  <c r="C35" i="49" s="1"/>
  <c r="F22" i="50"/>
  <c r="D19" i="54"/>
  <c r="D35" i="49" s="1"/>
  <c r="G19" i="54"/>
  <c r="G35" i="49" s="1"/>
  <c r="C15" i="54"/>
  <c r="C34" i="49" s="1"/>
  <c r="D62" i="54"/>
  <c r="J4" i="65"/>
  <c r="L4" i="65" s="1"/>
  <c r="H34" i="50"/>
  <c r="H20" i="50"/>
  <c r="F9" i="50"/>
  <c r="J7" i="65"/>
  <c r="K52" i="49"/>
  <c r="K20" i="63"/>
  <c r="G6" i="52"/>
  <c r="G11" i="49" s="1"/>
  <c r="F18" i="50"/>
  <c r="H11" i="50"/>
  <c r="F11" i="50"/>
  <c r="F10" i="50"/>
  <c r="F3" i="82"/>
  <c r="H3" i="82" s="1"/>
  <c r="F4" i="82"/>
  <c r="H4" i="82" s="1"/>
  <c r="F26" i="51"/>
  <c r="H26" i="51" s="1"/>
  <c r="F25" i="51"/>
  <c r="H25" i="51" s="1"/>
  <c r="K15" i="54"/>
  <c r="K34" i="49" s="1"/>
  <c r="H28" i="50"/>
  <c r="H35" i="50"/>
  <c r="H36" i="50"/>
  <c r="H24" i="50"/>
  <c r="H21" i="50"/>
  <c r="H19" i="50"/>
  <c r="H17" i="50"/>
  <c r="H14" i="50"/>
  <c r="H12" i="50"/>
  <c r="D7" i="62"/>
  <c r="D19" i="49" s="1"/>
  <c r="D13" i="62"/>
  <c r="D20" i="49" s="1"/>
  <c r="D27" i="62"/>
  <c r="D22" i="49" s="1"/>
  <c r="D36" i="62"/>
  <c r="D23" i="49" s="1"/>
  <c r="E20" i="49"/>
  <c r="F5" i="62"/>
  <c r="H5" i="62" s="1"/>
  <c r="F6" i="62"/>
  <c r="H6" i="62" s="1"/>
  <c r="F25" i="62"/>
  <c r="H25" i="62" s="1"/>
  <c r="F26" i="62"/>
  <c r="H26" i="62" s="1"/>
  <c r="F34" i="62"/>
  <c r="H34" i="62" s="1"/>
  <c r="G7" i="62"/>
  <c r="G19" i="49" s="1"/>
  <c r="G13" i="62"/>
  <c r="G20" i="49" s="1"/>
  <c r="G21" i="62"/>
  <c r="G21" i="49" s="1"/>
  <c r="G36" i="62"/>
  <c r="G23" i="49" s="1"/>
  <c r="H8" i="62"/>
  <c r="H22" i="62"/>
  <c r="C13" i="62"/>
  <c r="C20" i="49" s="1"/>
  <c r="C36" i="62"/>
  <c r="C23" i="49" s="1"/>
  <c r="H16" i="63"/>
  <c r="D20" i="63"/>
  <c r="D27" i="49" s="1"/>
  <c r="E50" i="54"/>
  <c r="D8" i="54"/>
  <c r="H3" i="55"/>
  <c r="F4" i="50"/>
  <c r="E62" i="54"/>
  <c r="H7" i="52"/>
  <c r="H3" i="52"/>
  <c r="F4" i="65"/>
  <c r="H4" i="65" s="1"/>
  <c r="E23" i="49"/>
  <c r="F34" i="50"/>
  <c r="F35" i="50"/>
  <c r="F36" i="50"/>
  <c r="F37" i="50"/>
  <c r="F46" i="50"/>
  <c r="F28" i="50"/>
  <c r="F8" i="50"/>
  <c r="F19" i="50"/>
  <c r="F21" i="50"/>
  <c r="F23" i="50"/>
  <c r="F24" i="50"/>
  <c r="F26" i="50"/>
  <c r="F7" i="50"/>
  <c r="F3" i="50"/>
  <c r="F17" i="50"/>
  <c r="F15" i="50"/>
  <c r="F31" i="50"/>
  <c r="F32" i="50"/>
  <c r="G5" i="82"/>
  <c r="D5" i="82"/>
  <c r="D52" i="49" s="1"/>
  <c r="F14" i="50"/>
  <c r="E49" i="49"/>
  <c r="E5" i="65"/>
  <c r="D5" i="65"/>
  <c r="D8" i="65"/>
  <c r="D9" i="65" s="1"/>
  <c r="F7" i="65"/>
  <c r="H7" i="65" s="1"/>
  <c r="F16" i="54"/>
  <c r="H16" i="54" s="1"/>
  <c r="H62" i="54"/>
  <c r="G60" i="54"/>
  <c r="I60" i="54" s="1"/>
  <c r="H3" i="77"/>
  <c r="E50" i="49"/>
  <c r="D50" i="49"/>
  <c r="F12" i="51"/>
  <c r="F14" i="51" s="1"/>
  <c r="H24" i="51"/>
  <c r="H21" i="63"/>
  <c r="D7" i="76"/>
  <c r="D46" i="49"/>
  <c r="E7" i="76"/>
  <c r="E46" i="49"/>
  <c r="G7" i="76"/>
  <c r="G46" i="49"/>
  <c r="G33" i="49"/>
  <c r="G36" i="49"/>
  <c r="G10" i="52"/>
  <c r="G12" i="49" s="1"/>
  <c r="D29" i="63"/>
  <c r="D29" i="49" s="1"/>
  <c r="G20" i="63"/>
  <c r="G27" i="49" s="1"/>
  <c r="C15" i="55"/>
  <c r="E39" i="49"/>
  <c r="D7" i="55"/>
  <c r="H8" i="55"/>
  <c r="G7" i="51"/>
  <c r="E7" i="51"/>
  <c r="E29" i="51" s="1"/>
  <c r="E12" i="49"/>
  <c r="D7" i="51"/>
  <c r="D3" i="49" s="1"/>
  <c r="F19" i="63"/>
  <c r="F18" i="63"/>
  <c r="H18" i="63" s="1"/>
  <c r="F9" i="52"/>
  <c r="F8" i="52"/>
  <c r="H8" i="52" s="1"/>
  <c r="F5" i="52"/>
  <c r="H5" i="52" s="1"/>
  <c r="F4" i="52"/>
  <c r="F27" i="51"/>
  <c r="H27" i="51" s="1"/>
  <c r="F6" i="51"/>
  <c r="H6" i="51" s="1"/>
  <c r="F5" i="51"/>
  <c r="G57" i="54"/>
  <c r="I57" i="54" s="1"/>
  <c r="G59" i="54"/>
  <c r="I59" i="54" s="1"/>
  <c r="G61" i="54"/>
  <c r="I61" i="54" s="1"/>
  <c r="F22" i="54"/>
  <c r="H22" i="54" s="1"/>
  <c r="F23" i="54"/>
  <c r="H23" i="54" s="1"/>
  <c r="F10" i="54"/>
  <c r="H10" i="54" s="1"/>
  <c r="F13" i="54"/>
  <c r="H13" i="54" s="1"/>
  <c r="F14" i="54"/>
  <c r="H14" i="54" s="1"/>
  <c r="G56" i="54"/>
  <c r="I56" i="54" s="1"/>
  <c r="F9" i="54"/>
  <c r="H9" i="54" s="1"/>
  <c r="E33" i="49"/>
  <c r="E35" i="49"/>
  <c r="E34" i="49"/>
  <c r="F12" i="50"/>
  <c r="I18" i="79"/>
  <c r="H18" i="79"/>
  <c r="G18" i="79"/>
  <c r="E18" i="79"/>
  <c r="D18" i="79"/>
  <c r="C18" i="79"/>
  <c r="J17" i="79"/>
  <c r="K17" i="79" s="1"/>
  <c r="F17" i="79"/>
  <c r="J16" i="79"/>
  <c r="K16" i="79" s="1"/>
  <c r="K18" i="79" s="1"/>
  <c r="F16" i="79"/>
  <c r="F18" i="79"/>
  <c r="I15" i="79"/>
  <c r="H15" i="79"/>
  <c r="E15" i="79"/>
  <c r="D15" i="79"/>
  <c r="C15" i="79"/>
  <c r="F14" i="79"/>
  <c r="F15" i="79"/>
  <c r="I13" i="79"/>
  <c r="H13" i="79"/>
  <c r="E13" i="79"/>
  <c r="D13" i="79"/>
  <c r="C13" i="79"/>
  <c r="F12" i="79"/>
  <c r="F13" i="79"/>
  <c r="I11" i="79"/>
  <c r="E11" i="79"/>
  <c r="C11" i="79"/>
  <c r="D10" i="79"/>
  <c r="D11" i="79"/>
  <c r="F9" i="79"/>
  <c r="F8" i="79"/>
  <c r="F7" i="79"/>
  <c r="F11" i="79" s="1"/>
  <c r="F10" i="79"/>
  <c r="I6" i="79"/>
  <c r="I19" i="79"/>
  <c r="E6" i="79"/>
  <c r="E19" i="79"/>
  <c r="D6" i="79"/>
  <c r="D19" i="79"/>
  <c r="C6" i="79"/>
  <c r="C19" i="79"/>
  <c r="F5" i="79"/>
  <c r="F6" i="79" s="1"/>
  <c r="F4" i="79"/>
  <c r="F3" i="79"/>
  <c r="G19" i="79"/>
  <c r="F19" i="79"/>
  <c r="J19" i="79"/>
  <c r="G15" i="54"/>
  <c r="G34" i="49" s="1"/>
  <c r="K13" i="77"/>
  <c r="K50" i="49" s="1"/>
  <c r="G9" i="65"/>
  <c r="G49" i="49"/>
  <c r="C46" i="49"/>
  <c r="K7" i="76"/>
  <c r="K46" i="49" s="1"/>
  <c r="C24" i="54"/>
  <c r="C36" i="49" s="1"/>
  <c r="H6" i="76"/>
  <c r="H3" i="76"/>
  <c r="H5" i="76"/>
  <c r="C5" i="65"/>
  <c r="D5" i="57"/>
  <c r="E5" i="57"/>
  <c r="F4" i="57"/>
  <c r="H19" i="79"/>
  <c r="K19" i="79"/>
  <c r="E11" i="49"/>
  <c r="F20" i="50"/>
  <c r="E21" i="49"/>
  <c r="F29" i="50"/>
  <c r="H10" i="79"/>
  <c r="J10" i="79" s="1"/>
  <c r="K10" i="79" s="1"/>
  <c r="H5" i="79"/>
  <c r="H10" i="80" l="1"/>
  <c r="C45" i="49"/>
  <c r="M6" i="80"/>
  <c r="J31" i="55"/>
  <c r="J41" i="49" s="1"/>
  <c r="J7" i="76"/>
  <c r="J46" i="49" s="1"/>
  <c r="H28" i="51"/>
  <c r="I29" i="63"/>
  <c r="I29" i="49" s="1"/>
  <c r="K29" i="49"/>
  <c r="K56" i="63"/>
  <c r="K53" i="55"/>
  <c r="I49" i="54"/>
  <c r="I38" i="49" s="1"/>
  <c r="C50" i="54"/>
  <c r="I28" i="51"/>
  <c r="J28" i="51"/>
  <c r="I20" i="55"/>
  <c r="I40" i="49" s="1"/>
  <c r="K26" i="49"/>
  <c r="K11" i="49"/>
  <c r="K42" i="52"/>
  <c r="I15" i="63"/>
  <c r="I13" i="62"/>
  <c r="I27" i="62"/>
  <c r="I22" i="49" s="1"/>
  <c r="I21" i="62"/>
  <c r="M4" i="76"/>
  <c r="I30" i="62"/>
  <c r="L7" i="76"/>
  <c r="I15" i="55"/>
  <c r="I20" i="63"/>
  <c r="I27" i="49" s="1"/>
  <c r="I7" i="62"/>
  <c r="I41" i="52"/>
  <c r="I18" i="49" s="1"/>
  <c r="I7" i="51"/>
  <c r="I3" i="49" s="1"/>
  <c r="J25" i="63"/>
  <c r="J28" i="49" s="1"/>
  <c r="L5" i="85"/>
  <c r="M5" i="85" s="1"/>
  <c r="J6" i="85"/>
  <c r="J54" i="49" s="1"/>
  <c r="L22" i="54"/>
  <c r="M22" i="54" s="1"/>
  <c r="J24" i="54"/>
  <c r="L39" i="54"/>
  <c r="J41" i="54"/>
  <c r="L7" i="65"/>
  <c r="J8" i="65"/>
  <c r="L3" i="80"/>
  <c r="I10" i="80"/>
  <c r="I33" i="52"/>
  <c r="L42" i="54"/>
  <c r="L49" i="54" s="1"/>
  <c r="L20" i="54"/>
  <c r="M20" i="54" s="1"/>
  <c r="I24" i="54"/>
  <c r="I14" i="51"/>
  <c r="I6" i="49" s="1"/>
  <c r="L6" i="49" s="1"/>
  <c r="L25" i="54"/>
  <c r="M25" i="54" s="1"/>
  <c r="I33" i="54"/>
  <c r="I37" i="49" s="1"/>
  <c r="I37" i="55"/>
  <c r="I31" i="55"/>
  <c r="I50" i="55"/>
  <c r="I43" i="49" s="1"/>
  <c r="I25" i="63"/>
  <c r="I28" i="49" s="1"/>
  <c r="L34" i="54"/>
  <c r="M34" i="54" s="1"/>
  <c r="I41" i="54"/>
  <c r="I36" i="62"/>
  <c r="L3" i="54"/>
  <c r="M3" i="54" s="1"/>
  <c r="L3" i="55"/>
  <c r="I7" i="55"/>
  <c r="I42" i="55"/>
  <c r="I42" i="49" s="1"/>
  <c r="L35" i="62"/>
  <c r="M35" i="62" s="1"/>
  <c r="L34" i="62"/>
  <c r="M34" i="62" s="1"/>
  <c r="L27" i="63"/>
  <c r="M27" i="63" s="1"/>
  <c r="L7" i="63"/>
  <c r="M7" i="63" s="1"/>
  <c r="L32" i="62"/>
  <c r="M32" i="62" s="1"/>
  <c r="L29" i="62"/>
  <c r="L21" i="51"/>
  <c r="M21" i="51" s="1"/>
  <c r="L25" i="51"/>
  <c r="L9" i="62"/>
  <c r="L35" i="52"/>
  <c r="M35" i="52" s="1"/>
  <c r="L22" i="62"/>
  <c r="L4" i="62"/>
  <c r="M4" i="62" s="1"/>
  <c r="L18" i="51"/>
  <c r="L10" i="62"/>
  <c r="M10" i="62" s="1"/>
  <c r="L34" i="52"/>
  <c r="M34" i="52" s="1"/>
  <c r="L5" i="62"/>
  <c r="M5" i="62" s="1"/>
  <c r="L36" i="52"/>
  <c r="M36" i="52" s="1"/>
  <c r="L40" i="52"/>
  <c r="M40" i="52" s="1"/>
  <c r="J41" i="52"/>
  <c r="J18" i="49" s="1"/>
  <c r="L31" i="52"/>
  <c r="M31" i="52" s="1"/>
  <c r="L38" i="52"/>
  <c r="M38" i="52" s="1"/>
  <c r="L39" i="52"/>
  <c r="M39" i="52" s="1"/>
  <c r="L17" i="63"/>
  <c r="M17" i="63" s="1"/>
  <c r="L16" i="51"/>
  <c r="M16" i="51" s="1"/>
  <c r="L6" i="51"/>
  <c r="M6" i="51" s="1"/>
  <c r="L15" i="51"/>
  <c r="J17" i="51"/>
  <c r="J7" i="49" s="1"/>
  <c r="L5" i="51"/>
  <c r="J22" i="51"/>
  <c r="J9" i="49" s="1"/>
  <c r="L12" i="51"/>
  <c r="I5" i="82"/>
  <c r="I52" i="49" s="1"/>
  <c r="L26" i="62"/>
  <c r="M26" i="62" s="1"/>
  <c r="L14" i="52"/>
  <c r="M14" i="52" s="1"/>
  <c r="L3" i="62"/>
  <c r="M3" i="62" s="1"/>
  <c r="L41" i="55"/>
  <c r="M41" i="55" s="1"/>
  <c r="L51" i="55"/>
  <c r="L31" i="62"/>
  <c r="L23" i="51"/>
  <c r="L18" i="62"/>
  <c r="M18" i="62" s="1"/>
  <c r="I19" i="51"/>
  <c r="I8" i="49" s="1"/>
  <c r="L8" i="49" s="1"/>
  <c r="L24" i="51"/>
  <c r="M24" i="51" s="1"/>
  <c r="L38" i="63"/>
  <c r="L17" i="62"/>
  <c r="M17" i="62" s="1"/>
  <c r="L23" i="62"/>
  <c r="M23" i="62" s="1"/>
  <c r="I11" i="51"/>
  <c r="I4" i="49" s="1"/>
  <c r="I22" i="51"/>
  <c r="I9" i="49" s="1"/>
  <c r="H6" i="49"/>
  <c r="L20" i="51"/>
  <c r="L13" i="51"/>
  <c r="M13" i="51" s="1"/>
  <c r="H7" i="49"/>
  <c r="M10" i="51"/>
  <c r="M11" i="51" s="1"/>
  <c r="I17" i="51"/>
  <c r="G29" i="51"/>
  <c r="L24" i="55"/>
  <c r="M24" i="55" s="1"/>
  <c r="M36" i="54"/>
  <c r="J37" i="50"/>
  <c r="K37" i="50" s="1"/>
  <c r="L33" i="55"/>
  <c r="M33" i="55" s="1"/>
  <c r="L15" i="62"/>
  <c r="M15" i="62" s="1"/>
  <c r="L24" i="62"/>
  <c r="M24" i="62" s="1"/>
  <c r="L28" i="62"/>
  <c r="M28" i="62" s="1"/>
  <c r="L25" i="62"/>
  <c r="M25" i="62" s="1"/>
  <c r="L33" i="62"/>
  <c r="M33" i="62" s="1"/>
  <c r="L16" i="62"/>
  <c r="M16" i="62" s="1"/>
  <c r="L11" i="55"/>
  <c r="M11" i="55" s="1"/>
  <c r="F25" i="55"/>
  <c r="L34" i="55"/>
  <c r="M34" i="55" s="1"/>
  <c r="L28" i="55"/>
  <c r="M28" i="55" s="1"/>
  <c r="L17" i="55"/>
  <c r="L35" i="55"/>
  <c r="M35" i="55" s="1"/>
  <c r="L40" i="55"/>
  <c r="M40" i="55" s="1"/>
  <c r="J25" i="55"/>
  <c r="L38" i="55"/>
  <c r="M38" i="55" s="1"/>
  <c r="L46" i="55"/>
  <c r="L18" i="55"/>
  <c r="M18" i="55" s="1"/>
  <c r="L47" i="55"/>
  <c r="M47" i="55" s="1"/>
  <c r="L19" i="55"/>
  <c r="M19" i="55" s="1"/>
  <c r="L10" i="55"/>
  <c r="M10" i="55" s="1"/>
  <c r="L36" i="55"/>
  <c r="M36" i="55" s="1"/>
  <c r="L45" i="55"/>
  <c r="M45" i="55" s="1"/>
  <c r="J42" i="55"/>
  <c r="J42" i="49" s="1"/>
  <c r="L27" i="55"/>
  <c r="M27" i="55" s="1"/>
  <c r="L12" i="55"/>
  <c r="M12" i="55" s="1"/>
  <c r="L39" i="55"/>
  <c r="M39" i="55" s="1"/>
  <c r="L48" i="55"/>
  <c r="M48" i="55" s="1"/>
  <c r="L26" i="55"/>
  <c r="L49" i="55"/>
  <c r="M49" i="55" s="1"/>
  <c r="L23" i="55"/>
  <c r="L43" i="55"/>
  <c r="M43" i="55" s="1"/>
  <c r="L44" i="55"/>
  <c r="M44" i="55" s="1"/>
  <c r="L22" i="55"/>
  <c r="M22" i="55" s="1"/>
  <c r="J50" i="55"/>
  <c r="J43" i="49" s="1"/>
  <c r="G53" i="55"/>
  <c r="L9" i="55"/>
  <c r="M9" i="55" s="1"/>
  <c r="H23" i="55"/>
  <c r="H25" i="55" s="1"/>
  <c r="C53" i="55"/>
  <c r="M28" i="54"/>
  <c r="C37" i="49"/>
  <c r="M30" i="54"/>
  <c r="M43" i="54"/>
  <c r="M29" i="54"/>
  <c r="D50" i="54"/>
  <c r="M11" i="54"/>
  <c r="G37" i="62"/>
  <c r="L8" i="62"/>
  <c r="C37" i="62"/>
  <c r="L34" i="63"/>
  <c r="M34" i="63" s="1"/>
  <c r="L31" i="63"/>
  <c r="M31" i="63" s="1"/>
  <c r="J47" i="63"/>
  <c r="L50" i="63"/>
  <c r="M50" i="63" s="1"/>
  <c r="L12" i="63"/>
  <c r="M12" i="63" s="1"/>
  <c r="L3" i="63"/>
  <c r="M3" i="63" s="1"/>
  <c r="L32" i="63"/>
  <c r="M32" i="63" s="1"/>
  <c r="L42" i="63"/>
  <c r="M42" i="63" s="1"/>
  <c r="I40" i="63"/>
  <c r="I31" i="49" s="1"/>
  <c r="J10" i="63"/>
  <c r="J24" i="49" s="1"/>
  <c r="L33" i="63"/>
  <c r="M33" i="63" s="1"/>
  <c r="L21" i="63"/>
  <c r="L4" i="63"/>
  <c r="M4" i="63" s="1"/>
  <c r="L37" i="63"/>
  <c r="M37" i="63" s="1"/>
  <c r="L46" i="63"/>
  <c r="M46" i="63" s="1"/>
  <c r="L22" i="63"/>
  <c r="M22" i="63" s="1"/>
  <c r="L23" i="63"/>
  <c r="M23" i="63" s="1"/>
  <c r="J36" i="63"/>
  <c r="J30" i="49" s="1"/>
  <c r="L51" i="63"/>
  <c r="M51" i="63" s="1"/>
  <c r="L43" i="63"/>
  <c r="M43" i="63" s="1"/>
  <c r="L52" i="63"/>
  <c r="M52" i="63" s="1"/>
  <c r="L30" i="63"/>
  <c r="M30" i="63" s="1"/>
  <c r="L8" i="63"/>
  <c r="M8" i="63" s="1"/>
  <c r="L39" i="63"/>
  <c r="M39" i="63" s="1"/>
  <c r="I55" i="63"/>
  <c r="L26" i="63"/>
  <c r="L44" i="63"/>
  <c r="M44" i="63" s="1"/>
  <c r="L53" i="63"/>
  <c r="M53" i="63" s="1"/>
  <c r="L9" i="63"/>
  <c r="M9" i="63" s="1"/>
  <c r="I47" i="63"/>
  <c r="I32" i="49" s="1"/>
  <c r="L49" i="63"/>
  <c r="M49" i="63" s="1"/>
  <c r="L24" i="63"/>
  <c r="M24" i="63" s="1"/>
  <c r="L35" i="63"/>
  <c r="M35" i="63" s="1"/>
  <c r="L45" i="63"/>
  <c r="J55" i="63"/>
  <c r="J40" i="63"/>
  <c r="J31" i="49" s="1"/>
  <c r="L48" i="63"/>
  <c r="L41" i="63"/>
  <c r="L54" i="63"/>
  <c r="M54" i="63" s="1"/>
  <c r="I36" i="63"/>
  <c r="I30" i="49" s="1"/>
  <c r="L28" i="63"/>
  <c r="L16" i="63"/>
  <c r="C19" i="49"/>
  <c r="J37" i="52"/>
  <c r="J17" i="49" s="1"/>
  <c r="L32" i="52"/>
  <c r="M32" i="52" s="1"/>
  <c r="L26" i="52"/>
  <c r="M26" i="52" s="1"/>
  <c r="L30" i="52"/>
  <c r="M30" i="52" s="1"/>
  <c r="F13" i="62"/>
  <c r="F20" i="49" s="1"/>
  <c r="H20" i="49" s="1"/>
  <c r="L6" i="62"/>
  <c r="M6" i="62" s="1"/>
  <c r="I37" i="52"/>
  <c r="I17" i="49" s="1"/>
  <c r="C42" i="52"/>
  <c r="F37" i="52"/>
  <c r="F17" i="49" s="1"/>
  <c r="G42" i="52"/>
  <c r="J33" i="52"/>
  <c r="J38" i="50"/>
  <c r="K38" i="50" s="1"/>
  <c r="J39" i="50"/>
  <c r="K39" i="50" s="1"/>
  <c r="H9" i="80"/>
  <c r="H8" i="49"/>
  <c r="G17" i="49"/>
  <c r="C56" i="63"/>
  <c r="H4" i="49"/>
  <c r="F22" i="51"/>
  <c r="F9" i="49" s="1"/>
  <c r="H9" i="49" s="1"/>
  <c r="M38" i="54"/>
  <c r="M37" i="54"/>
  <c r="H11" i="62"/>
  <c r="G56" i="63"/>
  <c r="F31" i="55"/>
  <c r="F41" i="49" s="1"/>
  <c r="H41" i="49" s="1"/>
  <c r="H31" i="55"/>
  <c r="D49" i="49"/>
  <c r="F8" i="65"/>
  <c r="F49" i="49" s="1"/>
  <c r="H49" i="49" s="1"/>
  <c r="F29" i="63"/>
  <c r="F29" i="49" s="1"/>
  <c r="G29" i="49"/>
  <c r="H25" i="63"/>
  <c r="F25" i="63"/>
  <c r="F28" i="49" s="1"/>
  <c r="H28" i="49" s="1"/>
  <c r="J43" i="50"/>
  <c r="K43" i="50" s="1"/>
  <c r="J44" i="50"/>
  <c r="K44" i="50" s="1"/>
  <c r="M46" i="54"/>
  <c r="J10" i="50"/>
  <c r="K10" i="50" s="1"/>
  <c r="J5" i="81"/>
  <c r="K5" i="81" s="1"/>
  <c r="J10" i="80"/>
  <c r="J45" i="49" s="1"/>
  <c r="J7" i="50"/>
  <c r="K7" i="50" s="1"/>
  <c r="J3" i="57"/>
  <c r="F28" i="51"/>
  <c r="H37" i="52"/>
  <c r="F41" i="52"/>
  <c r="F18" i="49" s="1"/>
  <c r="H18" i="49" s="1"/>
  <c r="F50" i="55"/>
  <c r="F20" i="55"/>
  <c r="F40" i="49" s="1"/>
  <c r="H46" i="55"/>
  <c r="F47" i="63"/>
  <c r="F32" i="49" s="1"/>
  <c r="H55" i="63"/>
  <c r="M48" i="54"/>
  <c r="M4" i="54"/>
  <c r="M40" i="54"/>
  <c r="M44" i="54"/>
  <c r="M26" i="54"/>
  <c r="M47" i="54"/>
  <c r="M35" i="54"/>
  <c r="M45" i="54"/>
  <c r="H46" i="49"/>
  <c r="F7" i="55"/>
  <c r="F39" i="49" s="1"/>
  <c r="H39" i="49" s="1"/>
  <c r="H42" i="49"/>
  <c r="F55" i="63"/>
  <c r="F15" i="63"/>
  <c r="H36" i="63"/>
  <c r="H45" i="63"/>
  <c r="H47" i="63" s="1"/>
  <c r="F40" i="63"/>
  <c r="F31" i="49" s="1"/>
  <c r="H6" i="63"/>
  <c r="H38" i="63"/>
  <c r="H40" i="63" s="1"/>
  <c r="F36" i="63"/>
  <c r="F30" i="49" s="1"/>
  <c r="H28" i="63"/>
  <c r="H29" i="63" s="1"/>
  <c r="F10" i="63"/>
  <c r="I6" i="63"/>
  <c r="I10" i="63"/>
  <c r="I24" i="49" s="1"/>
  <c r="H15" i="63"/>
  <c r="F6" i="63"/>
  <c r="C10" i="49"/>
  <c r="H5" i="49"/>
  <c r="F7" i="51"/>
  <c r="H5" i="51"/>
  <c r="K29" i="51"/>
  <c r="J30" i="62"/>
  <c r="F7" i="62"/>
  <c r="F19" i="49" s="1"/>
  <c r="H41" i="52"/>
  <c r="F33" i="52"/>
  <c r="M12" i="52"/>
  <c r="G3" i="49"/>
  <c r="M8" i="52"/>
  <c r="F24" i="54"/>
  <c r="F36" i="49" s="1"/>
  <c r="M32" i="54"/>
  <c r="M27" i="54"/>
  <c r="H15" i="54"/>
  <c r="F15" i="54"/>
  <c r="F34" i="49" s="1"/>
  <c r="H34" i="49" s="1"/>
  <c r="D33" i="49"/>
  <c r="K13" i="50"/>
  <c r="J16" i="50"/>
  <c r="K16" i="50" s="1"/>
  <c r="M29" i="55"/>
  <c r="F44" i="49"/>
  <c r="M30" i="55"/>
  <c r="H20" i="55"/>
  <c r="F36" i="62"/>
  <c r="F23" i="49" s="1"/>
  <c r="H23" i="49" s="1"/>
  <c r="H27" i="62"/>
  <c r="M4" i="80"/>
  <c r="H7" i="76"/>
  <c r="K45" i="49"/>
  <c r="K11" i="80"/>
  <c r="G45" i="49"/>
  <c r="G11" i="80"/>
  <c r="L6" i="54"/>
  <c r="M6" i="54" s="1"/>
  <c r="J7" i="54"/>
  <c r="L7" i="54" s="1"/>
  <c r="M7" i="54" s="1"/>
  <c r="L12" i="62"/>
  <c r="M12" i="62" s="1"/>
  <c r="L11" i="59"/>
  <c r="L11" i="62"/>
  <c r="J18" i="52"/>
  <c r="L18" i="52" s="1"/>
  <c r="M18" i="52" s="1"/>
  <c r="J17" i="52"/>
  <c r="L17" i="52" s="1"/>
  <c r="M17" i="52" s="1"/>
  <c r="L14" i="55"/>
  <c r="M14" i="55" s="1"/>
  <c r="J18" i="54"/>
  <c r="L18" i="54" s="1"/>
  <c r="M18" i="54" s="1"/>
  <c r="L13" i="55"/>
  <c r="M13" i="55" s="1"/>
  <c r="J17" i="54"/>
  <c r="L20" i="62"/>
  <c r="L19" i="62"/>
  <c r="M19" i="62" s="1"/>
  <c r="L14" i="63"/>
  <c r="M14" i="63" s="1"/>
  <c r="L6" i="55"/>
  <c r="M6" i="55" s="1"/>
  <c r="L5" i="55"/>
  <c r="M5" i="55" s="1"/>
  <c r="L27" i="51"/>
  <c r="M27" i="51" s="1"/>
  <c r="L19" i="63"/>
  <c r="L18" i="63"/>
  <c r="M18" i="63" s="1"/>
  <c r="G32" i="50"/>
  <c r="I8" i="59"/>
  <c r="L8" i="59" s="1"/>
  <c r="I25" i="55"/>
  <c r="G8" i="50"/>
  <c r="J8" i="50" s="1"/>
  <c r="K8" i="50" s="1"/>
  <c r="I7" i="59"/>
  <c r="L7" i="59" s="1"/>
  <c r="I5" i="59"/>
  <c r="L5" i="59" s="1"/>
  <c r="I6" i="59"/>
  <c r="I4" i="59"/>
  <c r="G35" i="50"/>
  <c r="J35" i="50" s="1"/>
  <c r="K35" i="50" s="1"/>
  <c r="I6" i="65"/>
  <c r="I8" i="65" s="1"/>
  <c r="I49" i="49" s="1"/>
  <c r="G11" i="50"/>
  <c r="J11" i="50" s="1"/>
  <c r="K11" i="50" s="1"/>
  <c r="G22" i="50"/>
  <c r="J22" i="50" s="1"/>
  <c r="K22" i="50" s="1"/>
  <c r="I3" i="85"/>
  <c r="J6" i="50"/>
  <c r="K6" i="50" s="1"/>
  <c r="L32" i="55"/>
  <c r="L8" i="55"/>
  <c r="E27" i="50"/>
  <c r="J3" i="50"/>
  <c r="K18" i="50"/>
  <c r="L16" i="54"/>
  <c r="L9" i="54"/>
  <c r="J31" i="50"/>
  <c r="K31" i="50" s="1"/>
  <c r="J29" i="50"/>
  <c r="K29" i="50" s="1"/>
  <c r="J14" i="50"/>
  <c r="K14" i="50" s="1"/>
  <c r="J15" i="50"/>
  <c r="K15" i="50" s="1"/>
  <c r="J24" i="50"/>
  <c r="K24" i="50" s="1"/>
  <c r="J25" i="50"/>
  <c r="J34" i="50"/>
  <c r="K34" i="50" s="1"/>
  <c r="J46" i="50"/>
  <c r="K46" i="50" s="1"/>
  <c r="L3" i="82"/>
  <c r="M3" i="82" s="1"/>
  <c r="L4" i="82"/>
  <c r="M4" i="82" s="1"/>
  <c r="J19" i="50"/>
  <c r="K19" i="50" s="1"/>
  <c r="L53" i="49"/>
  <c r="C9" i="65"/>
  <c r="H36" i="62"/>
  <c r="L4" i="51"/>
  <c r="D29" i="51"/>
  <c r="M11" i="52"/>
  <c r="L28" i="52"/>
  <c r="M28" i="52" s="1"/>
  <c r="L23" i="52"/>
  <c r="M23" i="52" s="1"/>
  <c r="I16" i="52"/>
  <c r="L8" i="51"/>
  <c r="L9" i="51" s="1"/>
  <c r="I9" i="51"/>
  <c r="I5" i="49" s="1"/>
  <c r="L14" i="62"/>
  <c r="G21" i="50"/>
  <c r="J21" i="50" s="1"/>
  <c r="K21" i="50" s="1"/>
  <c r="G30" i="50"/>
  <c r="J30" i="50" s="1"/>
  <c r="G17" i="50"/>
  <c r="J17" i="50" s="1"/>
  <c r="K17" i="50" s="1"/>
  <c r="G28" i="50"/>
  <c r="G12" i="50"/>
  <c r="J12" i="50" s="1"/>
  <c r="K12" i="50" s="1"/>
  <c r="G33" i="50"/>
  <c r="J33" i="50" s="1"/>
  <c r="I3" i="52"/>
  <c r="L3" i="52" s="1"/>
  <c r="G36" i="50"/>
  <c r="J36" i="50" s="1"/>
  <c r="K36" i="50" s="1"/>
  <c r="I3" i="59"/>
  <c r="G20" i="50"/>
  <c r="J20" i="50" s="1"/>
  <c r="K20" i="50" s="1"/>
  <c r="G26" i="50"/>
  <c r="J26" i="50" s="1"/>
  <c r="K26" i="50" s="1"/>
  <c r="L4" i="55"/>
  <c r="M4" i="55" s="1"/>
  <c r="D56" i="63"/>
  <c r="D39" i="49"/>
  <c r="D53" i="55"/>
  <c r="H7" i="55"/>
  <c r="H15" i="55"/>
  <c r="M58" i="54"/>
  <c r="N58" i="54" s="1"/>
  <c r="J5" i="82"/>
  <c r="J52" i="49" s="1"/>
  <c r="G24" i="49"/>
  <c r="H10" i="63"/>
  <c r="H6" i="85"/>
  <c r="F5" i="82"/>
  <c r="F52" i="49" s="1"/>
  <c r="D44" i="49"/>
  <c r="G50" i="54"/>
  <c r="D42" i="52"/>
  <c r="G52" i="49"/>
  <c r="G13" i="49"/>
  <c r="D37" i="62"/>
  <c r="H7" i="62"/>
  <c r="H5" i="82"/>
  <c r="I24" i="52"/>
  <c r="I15" i="49" s="1"/>
  <c r="F24" i="52"/>
  <c r="H22" i="52"/>
  <c r="M22" i="52" s="1"/>
  <c r="J24" i="52"/>
  <c r="J15" i="49" s="1"/>
  <c r="F41" i="54"/>
  <c r="H39" i="54"/>
  <c r="H41" i="54" s="1"/>
  <c r="M14" i="54"/>
  <c r="M23" i="54"/>
  <c r="G38" i="49"/>
  <c r="F45" i="49"/>
  <c r="F11" i="80"/>
  <c r="E45" i="49"/>
  <c r="E11" i="80"/>
  <c r="F12" i="59"/>
  <c r="H11" i="59"/>
  <c r="H12" i="59" s="1"/>
  <c r="F30" i="62"/>
  <c r="H29" i="62"/>
  <c r="H48" i="49"/>
  <c r="H51" i="49"/>
  <c r="H53" i="49"/>
  <c r="H8" i="65"/>
  <c r="H9" i="65" s="1"/>
  <c r="F49" i="54"/>
  <c r="F38" i="49" s="1"/>
  <c r="H42" i="54"/>
  <c r="H49" i="54" s="1"/>
  <c r="H24" i="54"/>
  <c r="E36" i="49"/>
  <c r="K44" i="49"/>
  <c r="G44" i="49"/>
  <c r="F6" i="85"/>
  <c r="F54" i="49" s="1"/>
  <c r="H54" i="49" s="1"/>
  <c r="I16" i="49"/>
  <c r="F29" i="52"/>
  <c r="F16" i="49" s="1"/>
  <c r="H27" i="52"/>
  <c r="I13" i="49"/>
  <c r="F15" i="52"/>
  <c r="F13" i="49" s="1"/>
  <c r="H13" i="52"/>
  <c r="H15" i="52" s="1"/>
  <c r="J15" i="52"/>
  <c r="J13" i="49" s="1"/>
  <c r="F19" i="52"/>
  <c r="F14" i="49" s="1"/>
  <c r="K23" i="49"/>
  <c r="F21" i="62"/>
  <c r="H20" i="62"/>
  <c r="F33" i="54"/>
  <c r="H31" i="54"/>
  <c r="M9" i="77"/>
  <c r="H12" i="77"/>
  <c r="F50" i="49"/>
  <c r="M4" i="65"/>
  <c r="K7" i="62"/>
  <c r="K37" i="62" s="1"/>
  <c r="F25" i="50"/>
  <c r="I62" i="54"/>
  <c r="F19" i="54"/>
  <c r="F35" i="49" s="1"/>
  <c r="H35" i="49" s="1"/>
  <c r="N60" i="54"/>
  <c r="K47" i="49"/>
  <c r="E3" i="49"/>
  <c r="K10" i="49"/>
  <c r="F20" i="63"/>
  <c r="F27" i="49" s="1"/>
  <c r="H27" i="49" s="1"/>
  <c r="J13" i="77"/>
  <c r="J50" i="49" s="1"/>
  <c r="J36" i="62"/>
  <c r="J27" i="62"/>
  <c r="J22" i="49" s="1"/>
  <c r="K8" i="54"/>
  <c r="K62" i="54"/>
  <c r="J7" i="62"/>
  <c r="K24" i="54"/>
  <c r="H11" i="79"/>
  <c r="J10" i="52"/>
  <c r="J12" i="49" s="1"/>
  <c r="M61" i="54"/>
  <c r="N61" i="54" s="1"/>
  <c r="L13" i="54"/>
  <c r="M13" i="54" s="1"/>
  <c r="H9" i="52"/>
  <c r="F10" i="52"/>
  <c r="F12" i="49" s="1"/>
  <c r="H12" i="49" s="1"/>
  <c r="F3" i="57"/>
  <c r="F5" i="57" s="1"/>
  <c r="H6" i="79"/>
  <c r="J5" i="79"/>
  <c r="K5" i="79" s="1"/>
  <c r="H19" i="54"/>
  <c r="G62" i="54"/>
  <c r="H12" i="51"/>
  <c r="H4" i="52"/>
  <c r="F6" i="52"/>
  <c r="H19" i="63"/>
  <c r="H20" i="63" s="1"/>
  <c r="F15" i="55"/>
  <c r="E19" i="49"/>
  <c r="C47" i="49"/>
  <c r="F8" i="54"/>
  <c r="J18" i="79"/>
  <c r="F5" i="65"/>
  <c r="F9" i="65" s="1"/>
  <c r="G50" i="49"/>
  <c r="J6" i="52"/>
  <c r="M5" i="52"/>
  <c r="F27" i="62"/>
  <c r="F22" i="49" s="1"/>
  <c r="J9" i="65" l="1"/>
  <c r="J49" i="49"/>
  <c r="L9" i="49"/>
  <c r="M9" i="49" s="1"/>
  <c r="L18" i="49"/>
  <c r="M18" i="49" s="1"/>
  <c r="L17" i="49"/>
  <c r="I56" i="63"/>
  <c r="M26" i="63"/>
  <c r="L29" i="63"/>
  <c r="M51" i="55"/>
  <c r="M52" i="55" s="1"/>
  <c r="L52" i="55"/>
  <c r="J32" i="49"/>
  <c r="M32" i="55"/>
  <c r="M37" i="55" s="1"/>
  <c r="L37" i="55"/>
  <c r="M26" i="55"/>
  <c r="M31" i="55" s="1"/>
  <c r="L31" i="55"/>
  <c r="L16" i="52"/>
  <c r="M16" i="52" s="1"/>
  <c r="M19" i="52" s="1"/>
  <c r="L3" i="59"/>
  <c r="I12" i="59"/>
  <c r="J29" i="49"/>
  <c r="L28" i="49"/>
  <c r="M28" i="49" s="1"/>
  <c r="L43" i="49"/>
  <c r="I44" i="49"/>
  <c r="M23" i="51"/>
  <c r="I37" i="62"/>
  <c r="L4" i="49"/>
  <c r="M4" i="49" s="1"/>
  <c r="I10" i="49"/>
  <c r="I7" i="49"/>
  <c r="L7" i="49" s="1"/>
  <c r="M7" i="49" s="1"/>
  <c r="L5" i="49"/>
  <c r="M5" i="49" s="1"/>
  <c r="L6" i="59"/>
  <c r="M6" i="59" s="1"/>
  <c r="L41" i="54"/>
  <c r="J19" i="54"/>
  <c r="J35" i="49" s="1"/>
  <c r="L7" i="51"/>
  <c r="M24" i="54"/>
  <c r="L15" i="55"/>
  <c r="L22" i="51"/>
  <c r="L8" i="54"/>
  <c r="M42" i="55"/>
  <c r="M8" i="54"/>
  <c r="L15" i="54"/>
  <c r="L31" i="54"/>
  <c r="J33" i="54"/>
  <c r="J37" i="49" s="1"/>
  <c r="L37" i="49" s="1"/>
  <c r="J8" i="54"/>
  <c r="J33" i="49" s="1"/>
  <c r="L55" i="63"/>
  <c r="M15" i="51"/>
  <c r="M17" i="51" s="1"/>
  <c r="L17" i="51"/>
  <c r="I25" i="49"/>
  <c r="J28" i="50"/>
  <c r="G47" i="50"/>
  <c r="L4" i="59"/>
  <c r="M5" i="82"/>
  <c r="M37" i="52"/>
  <c r="L20" i="55"/>
  <c r="L7" i="55"/>
  <c r="L21" i="62"/>
  <c r="M41" i="52"/>
  <c r="M18" i="51"/>
  <c r="M19" i="51" s="1"/>
  <c r="L19" i="51"/>
  <c r="G27" i="50"/>
  <c r="M10" i="63"/>
  <c r="L29" i="52"/>
  <c r="M33" i="52"/>
  <c r="M36" i="63"/>
  <c r="M7" i="62"/>
  <c r="L3" i="85"/>
  <c r="L6" i="85" s="1"/>
  <c r="I6" i="85"/>
  <c r="I54" i="49" s="1"/>
  <c r="L54" i="49" s="1"/>
  <c r="M54" i="49" s="1"/>
  <c r="L6" i="65"/>
  <c r="L8" i="65" s="1"/>
  <c r="M17" i="55"/>
  <c r="M20" i="55" s="1"/>
  <c r="M11" i="62"/>
  <c r="M29" i="62"/>
  <c r="M30" i="62" s="1"/>
  <c r="L37" i="52"/>
  <c r="L41" i="52"/>
  <c r="L30" i="62"/>
  <c r="L40" i="63"/>
  <c r="M20" i="51"/>
  <c r="M22" i="51" s="1"/>
  <c r="M8" i="49"/>
  <c r="M6" i="49"/>
  <c r="F3" i="49"/>
  <c r="F29" i="51"/>
  <c r="L14" i="51"/>
  <c r="H19" i="49"/>
  <c r="H22" i="49"/>
  <c r="J44" i="49"/>
  <c r="L42" i="55"/>
  <c r="L50" i="55"/>
  <c r="M23" i="55"/>
  <c r="M46" i="55"/>
  <c r="M50" i="55" s="1"/>
  <c r="L36" i="63"/>
  <c r="L25" i="63"/>
  <c r="L10" i="63"/>
  <c r="M48" i="63"/>
  <c r="M55" i="63" s="1"/>
  <c r="F25" i="49"/>
  <c r="H25" i="49" s="1"/>
  <c r="F56" i="63"/>
  <c r="M45" i="63"/>
  <c r="M38" i="63"/>
  <c r="M40" i="63" s="1"/>
  <c r="L47" i="63"/>
  <c r="M41" i="63"/>
  <c r="L33" i="52"/>
  <c r="F37" i="62"/>
  <c r="H17" i="49"/>
  <c r="H11" i="80"/>
  <c r="M53" i="49"/>
  <c r="F42" i="52"/>
  <c r="F15" i="49"/>
  <c r="H15" i="49" s="1"/>
  <c r="H53" i="55"/>
  <c r="F43" i="49"/>
  <c r="H43" i="49" s="1"/>
  <c r="F53" i="55"/>
  <c r="F50" i="54"/>
  <c r="F37" i="49"/>
  <c r="H37" i="49" s="1"/>
  <c r="H29" i="49"/>
  <c r="F26" i="49"/>
  <c r="H26" i="49" s="1"/>
  <c r="H14" i="49"/>
  <c r="F24" i="49"/>
  <c r="H24" i="49" s="1"/>
  <c r="J5" i="50"/>
  <c r="J11" i="80"/>
  <c r="L22" i="49"/>
  <c r="L5" i="82"/>
  <c r="H45" i="49"/>
  <c r="D57" i="49"/>
  <c r="H38" i="49"/>
  <c r="J15" i="55"/>
  <c r="M28" i="63"/>
  <c r="M8" i="51"/>
  <c r="M9" i="51" s="1"/>
  <c r="H24" i="52"/>
  <c r="L13" i="49"/>
  <c r="J19" i="52"/>
  <c r="J14" i="49" s="1"/>
  <c r="M27" i="52"/>
  <c r="I19" i="52"/>
  <c r="I14" i="49" s="1"/>
  <c r="M13" i="52"/>
  <c r="M15" i="52" s="1"/>
  <c r="H13" i="49"/>
  <c r="K50" i="54"/>
  <c r="M42" i="54"/>
  <c r="M49" i="54" s="1"/>
  <c r="F27" i="50"/>
  <c r="J7" i="55"/>
  <c r="F10" i="49"/>
  <c r="H10" i="49" s="1"/>
  <c r="J21" i="62"/>
  <c r="J21" i="49" s="1"/>
  <c r="J13" i="62"/>
  <c r="J20" i="49" s="1"/>
  <c r="M20" i="62"/>
  <c r="H30" i="62"/>
  <c r="L26" i="51"/>
  <c r="M26" i="51" s="1"/>
  <c r="J10" i="49"/>
  <c r="L13" i="63"/>
  <c r="M13" i="63" s="1"/>
  <c r="J15" i="63"/>
  <c r="J26" i="49" s="1"/>
  <c r="L5" i="63"/>
  <c r="J6" i="63"/>
  <c r="L21" i="55"/>
  <c r="L25" i="55" s="1"/>
  <c r="H44" i="49"/>
  <c r="K25" i="50"/>
  <c r="L38" i="49"/>
  <c r="L52" i="49"/>
  <c r="H6" i="52"/>
  <c r="H42" i="52" s="1"/>
  <c r="M4" i="52"/>
  <c r="H10" i="52"/>
  <c r="M9" i="52"/>
  <c r="L11" i="63"/>
  <c r="I26" i="49"/>
  <c r="M19" i="63"/>
  <c r="G12" i="59"/>
  <c r="G47" i="49" s="1"/>
  <c r="H5" i="59"/>
  <c r="H40" i="49"/>
  <c r="C52" i="49"/>
  <c r="H52" i="49" s="1"/>
  <c r="L24" i="52"/>
  <c r="M20" i="52"/>
  <c r="M24" i="52" s="1"/>
  <c r="H50" i="49"/>
  <c r="M39" i="54"/>
  <c r="M41" i="54" s="1"/>
  <c r="H16" i="49"/>
  <c r="H31" i="49"/>
  <c r="K36" i="49"/>
  <c r="J36" i="49"/>
  <c r="H32" i="49"/>
  <c r="H33" i="54"/>
  <c r="H36" i="49"/>
  <c r="M25" i="52"/>
  <c r="F21" i="49"/>
  <c r="L15" i="52"/>
  <c r="H30" i="49"/>
  <c r="J23" i="49"/>
  <c r="K33" i="49"/>
  <c r="F47" i="49"/>
  <c r="F30" i="50"/>
  <c r="K30" i="50" s="1"/>
  <c r="C47" i="50"/>
  <c r="J19" i="49"/>
  <c r="I47" i="50"/>
  <c r="K56" i="49" s="1"/>
  <c r="K9" i="65"/>
  <c r="K3" i="49"/>
  <c r="J20" i="63"/>
  <c r="J27" i="49" s="1"/>
  <c r="K35" i="49"/>
  <c r="M7" i="65"/>
  <c r="F11" i="49"/>
  <c r="H11" i="49" s="1"/>
  <c r="G55" i="49"/>
  <c r="J11" i="49"/>
  <c r="F33" i="49"/>
  <c r="M17" i="49" l="1"/>
  <c r="M29" i="63"/>
  <c r="J56" i="63"/>
  <c r="L19" i="52"/>
  <c r="L12" i="59"/>
  <c r="J53" i="55"/>
  <c r="L28" i="51"/>
  <c r="L29" i="51" s="1"/>
  <c r="J42" i="52"/>
  <c r="L44" i="49"/>
  <c r="M44" i="49" s="1"/>
  <c r="M3" i="85"/>
  <c r="M6" i="85" s="1"/>
  <c r="M6" i="65"/>
  <c r="M8" i="65" s="1"/>
  <c r="I29" i="51"/>
  <c r="K5" i="50"/>
  <c r="G48" i="50"/>
  <c r="M47" i="63"/>
  <c r="M29" i="52"/>
  <c r="L24" i="49"/>
  <c r="M24" i="49" s="1"/>
  <c r="J25" i="49"/>
  <c r="L25" i="49" s="1"/>
  <c r="M25" i="49" s="1"/>
  <c r="L26" i="49"/>
  <c r="M26" i="49" s="1"/>
  <c r="M43" i="49"/>
  <c r="K4" i="50"/>
  <c r="L42" i="49"/>
  <c r="M42" i="49" s="1"/>
  <c r="I41" i="49"/>
  <c r="M22" i="49"/>
  <c r="M13" i="49"/>
  <c r="M52" i="49"/>
  <c r="M38" i="49"/>
  <c r="M37" i="49"/>
  <c r="H47" i="49"/>
  <c r="J39" i="49"/>
  <c r="L15" i="49"/>
  <c r="M15" i="49" s="1"/>
  <c r="L16" i="49"/>
  <c r="M16" i="49" s="1"/>
  <c r="J37" i="62"/>
  <c r="L6" i="63"/>
  <c r="M5" i="63"/>
  <c r="M6" i="63" s="1"/>
  <c r="L33" i="54"/>
  <c r="M31" i="54"/>
  <c r="M33" i="54" s="1"/>
  <c r="M21" i="55"/>
  <c r="C56" i="49"/>
  <c r="C48" i="50"/>
  <c r="L14" i="49"/>
  <c r="M14" i="49" s="1"/>
  <c r="L27" i="49"/>
  <c r="M27" i="49" s="1"/>
  <c r="L15" i="63"/>
  <c r="M11" i="63"/>
  <c r="M15" i="63" s="1"/>
  <c r="M25" i="55" l="1"/>
  <c r="L41" i="49"/>
  <c r="M41" i="49" s="1"/>
  <c r="K39" i="49"/>
  <c r="K19" i="49"/>
  <c r="I27" i="50" l="1"/>
  <c r="K21" i="49"/>
  <c r="H9" i="62"/>
  <c r="H13" i="62" s="1"/>
  <c r="C55" i="49"/>
  <c r="I19" i="49"/>
  <c r="K3" i="50"/>
  <c r="M3" i="77"/>
  <c r="M3" i="55"/>
  <c r="M7" i="55" s="1"/>
  <c r="M53" i="55" s="1"/>
  <c r="I53" i="55"/>
  <c r="L53" i="55"/>
  <c r="M8" i="62"/>
  <c r="I17" i="54"/>
  <c r="I19" i="54" s="1"/>
  <c r="I50" i="54" s="1"/>
  <c r="M4" i="77"/>
  <c r="M10" i="54"/>
  <c r="M59" i="54"/>
  <c r="N59" i="54" s="1"/>
  <c r="M22" i="62"/>
  <c r="M27" i="62" s="1"/>
  <c r="M9" i="62"/>
  <c r="M8" i="59"/>
  <c r="I10" i="52"/>
  <c r="I6" i="52"/>
  <c r="L6" i="52"/>
  <c r="M3" i="52"/>
  <c r="M6" i="52" s="1"/>
  <c r="G14" i="79"/>
  <c r="J14" i="79" s="1"/>
  <c r="G3" i="79"/>
  <c r="J3" i="79" s="1"/>
  <c r="G12" i="79"/>
  <c r="J12" i="79" s="1"/>
  <c r="M56" i="54"/>
  <c r="I5" i="65"/>
  <c r="I48" i="49" s="1"/>
  <c r="I23" i="49"/>
  <c r="J12" i="59"/>
  <c r="J47" i="49" s="1"/>
  <c r="M9" i="59"/>
  <c r="I21" i="49"/>
  <c r="M16" i="54"/>
  <c r="M11" i="59"/>
  <c r="H9" i="50"/>
  <c r="J9" i="50" s="1"/>
  <c r="E47" i="50"/>
  <c r="E48" i="50" s="1"/>
  <c r="F33" i="50"/>
  <c r="K33" i="50" s="1"/>
  <c r="G7" i="79"/>
  <c r="J7" i="79" s="1"/>
  <c r="M9" i="54"/>
  <c r="I36" i="49"/>
  <c r="L40" i="49"/>
  <c r="M8" i="55"/>
  <c r="M15" i="55" s="1"/>
  <c r="M3" i="59"/>
  <c r="H32" i="50"/>
  <c r="J32" i="50" s="1"/>
  <c r="J47" i="50" s="1"/>
  <c r="J50" i="54"/>
  <c r="L10" i="77"/>
  <c r="M10" i="77" s="1"/>
  <c r="J7" i="51"/>
  <c r="J29" i="51" s="1"/>
  <c r="M4" i="51"/>
  <c r="M25" i="51"/>
  <c r="G8" i="79"/>
  <c r="J8" i="79" s="1"/>
  <c r="K8" i="79" s="1"/>
  <c r="M6" i="77"/>
  <c r="M8" i="77"/>
  <c r="M5" i="76"/>
  <c r="G5" i="57"/>
  <c r="K4" i="57"/>
  <c r="G9" i="79"/>
  <c r="J9" i="79" s="1"/>
  <c r="K9" i="79" s="1"/>
  <c r="M5" i="80"/>
  <c r="M5" i="77"/>
  <c r="M7" i="59"/>
  <c r="M4" i="59"/>
  <c r="M9" i="80"/>
  <c r="M7" i="77"/>
  <c r="M12" i="77"/>
  <c r="M6" i="76"/>
  <c r="J23" i="50"/>
  <c r="K23" i="50" s="1"/>
  <c r="M5" i="59"/>
  <c r="M5" i="51"/>
  <c r="M11" i="77"/>
  <c r="G4" i="79"/>
  <c r="J62" i="54"/>
  <c r="M57" i="54"/>
  <c r="N57" i="54" s="1"/>
  <c r="L29" i="49" l="1"/>
  <c r="M29" i="49" s="1"/>
  <c r="M13" i="62"/>
  <c r="M15" i="54"/>
  <c r="I42" i="52"/>
  <c r="J27" i="50"/>
  <c r="M13" i="77"/>
  <c r="I12" i="49"/>
  <c r="L12" i="49" s="1"/>
  <c r="M12" i="49" s="1"/>
  <c r="M40" i="49"/>
  <c r="G6" i="79"/>
  <c r="G13" i="79"/>
  <c r="G15" i="79"/>
  <c r="J4" i="79"/>
  <c r="K4" i="79" s="1"/>
  <c r="K55" i="49"/>
  <c r="I48" i="50"/>
  <c r="L17" i="54"/>
  <c r="K32" i="50"/>
  <c r="K9" i="50"/>
  <c r="H27" i="50"/>
  <c r="L31" i="49"/>
  <c r="M31" i="49" s="1"/>
  <c r="L10" i="49"/>
  <c r="M10" i="49" s="1"/>
  <c r="L36" i="49"/>
  <c r="L23" i="49"/>
  <c r="M23" i="49" s="1"/>
  <c r="L48" i="49"/>
  <c r="M48" i="49" s="1"/>
  <c r="L19" i="49"/>
  <c r="M19" i="49" s="1"/>
  <c r="L21" i="49"/>
  <c r="H47" i="50"/>
  <c r="J56" i="49" s="1"/>
  <c r="L20" i="63"/>
  <c r="M16" i="63"/>
  <c r="M20" i="63" s="1"/>
  <c r="M56" i="63" s="1"/>
  <c r="I39" i="49"/>
  <c r="H55" i="49"/>
  <c r="I11" i="80"/>
  <c r="I5" i="57"/>
  <c r="K51" i="49" s="1"/>
  <c r="I51" i="49"/>
  <c r="I7" i="76"/>
  <c r="I46" i="49" s="1"/>
  <c r="G11" i="79"/>
  <c r="J3" i="49"/>
  <c r="J34" i="49"/>
  <c r="I9" i="65"/>
  <c r="L49" i="49" s="1"/>
  <c r="M12" i="51"/>
  <c r="L24" i="54"/>
  <c r="D47" i="50"/>
  <c r="D48" i="50" s="1"/>
  <c r="F48" i="50" s="1"/>
  <c r="K7" i="79"/>
  <c r="K11" i="79" s="1"/>
  <c r="J11" i="79"/>
  <c r="G56" i="49"/>
  <c r="G57" i="49" s="1"/>
  <c r="H14" i="62"/>
  <c r="H21" i="62" s="1"/>
  <c r="H37" i="62" s="1"/>
  <c r="L36" i="62"/>
  <c r="M31" i="62"/>
  <c r="M36" i="62" s="1"/>
  <c r="L5" i="65"/>
  <c r="L9" i="65" s="1"/>
  <c r="M3" i="65"/>
  <c r="M5" i="65" s="1"/>
  <c r="M9" i="65" s="1"/>
  <c r="N56" i="54"/>
  <c r="N62" i="54" s="1"/>
  <c r="M62" i="54"/>
  <c r="K12" i="79"/>
  <c r="K13" i="79" s="1"/>
  <c r="J13" i="79"/>
  <c r="K3" i="79"/>
  <c r="M3" i="76"/>
  <c r="M7" i="76" s="1"/>
  <c r="K14" i="79"/>
  <c r="K15" i="79" s="1"/>
  <c r="J15" i="79"/>
  <c r="I11" i="49"/>
  <c r="M7" i="52"/>
  <c r="M10" i="52" s="1"/>
  <c r="M42" i="52" s="1"/>
  <c r="L10" i="52"/>
  <c r="L42" i="52" s="1"/>
  <c r="M21" i="63"/>
  <c r="J5" i="57"/>
  <c r="K3" i="57"/>
  <c r="K5" i="57" s="1"/>
  <c r="L10" i="80"/>
  <c r="L11" i="80" s="1"/>
  <c r="M3" i="80"/>
  <c r="M10" i="80" s="1"/>
  <c r="M11" i="80" s="1"/>
  <c r="L27" i="62"/>
  <c r="L13" i="62"/>
  <c r="K28" i="50"/>
  <c r="L13" i="77"/>
  <c r="I13" i="77"/>
  <c r="I50" i="49" s="1"/>
  <c r="L7" i="62"/>
  <c r="K57" i="49" l="1"/>
  <c r="G58" i="49" s="1"/>
  <c r="L11" i="49"/>
  <c r="M11" i="49" s="1"/>
  <c r="L56" i="63"/>
  <c r="L46" i="49"/>
  <c r="M46" i="49" s="1"/>
  <c r="M17" i="54"/>
  <c r="M19" i="54" s="1"/>
  <c r="M50" i="54" s="1"/>
  <c r="L19" i="54"/>
  <c r="L50" i="54" s="1"/>
  <c r="M25" i="63"/>
  <c r="M14" i="51"/>
  <c r="M28" i="51" s="1"/>
  <c r="M36" i="49"/>
  <c r="M49" i="49"/>
  <c r="K6" i="79"/>
  <c r="J6" i="79"/>
  <c r="I35" i="49"/>
  <c r="L35" i="49" s="1"/>
  <c r="M35" i="49" s="1"/>
  <c r="I56" i="49"/>
  <c r="L56" i="49" s="1"/>
  <c r="L50" i="49"/>
  <c r="M50" i="49" s="1"/>
  <c r="L51" i="49"/>
  <c r="M51" i="49" s="1"/>
  <c r="L30" i="49"/>
  <c r="M30" i="49" s="1"/>
  <c r="L32" i="49"/>
  <c r="M32" i="49" s="1"/>
  <c r="L39" i="49"/>
  <c r="M39" i="49" s="1"/>
  <c r="J48" i="50"/>
  <c r="K27" i="50"/>
  <c r="F47" i="50"/>
  <c r="K47" i="50"/>
  <c r="H8" i="54"/>
  <c r="H50" i="54" s="1"/>
  <c r="I34" i="49"/>
  <c r="I20" i="49"/>
  <c r="I33" i="49"/>
  <c r="L33" i="49" s="1"/>
  <c r="M10" i="59"/>
  <c r="M12" i="59" s="1"/>
  <c r="I55" i="49"/>
  <c r="I57" i="49" s="1"/>
  <c r="L3" i="49"/>
  <c r="H3" i="51"/>
  <c r="C7" i="51"/>
  <c r="C29" i="51" s="1"/>
  <c r="C33" i="49"/>
  <c r="H33" i="49" s="1"/>
  <c r="L37" i="62"/>
  <c r="M14" i="62"/>
  <c r="M21" i="62" s="1"/>
  <c r="M37" i="62" s="1"/>
  <c r="H48" i="50"/>
  <c r="J55" i="49"/>
  <c r="J57" i="49" s="1"/>
  <c r="F56" i="49"/>
  <c r="H56" i="49" s="1"/>
  <c r="I47" i="49"/>
  <c r="I45" i="49"/>
  <c r="H7" i="51" l="1"/>
  <c r="H29" i="51" s="1"/>
  <c r="M56" i="49"/>
  <c r="M33" i="49"/>
  <c r="K48" i="50"/>
  <c r="L45" i="49"/>
  <c r="M45" i="49" s="1"/>
  <c r="L47" i="49"/>
  <c r="M47" i="49" s="1"/>
  <c r="L55" i="49"/>
  <c r="L20" i="49"/>
  <c r="L34" i="49"/>
  <c r="C3" i="49"/>
  <c r="C21" i="49"/>
  <c r="M3" i="51"/>
  <c r="M7" i="51" s="1"/>
  <c r="M29" i="51" s="1"/>
  <c r="L57" i="49" l="1"/>
  <c r="M55" i="49"/>
  <c r="M20" i="49"/>
  <c r="M34" i="49"/>
  <c r="H21" i="49"/>
  <c r="H3" i="49"/>
  <c r="M21" i="49" l="1"/>
  <c r="H57" i="49"/>
  <c r="M3" i="49"/>
  <c r="C57" i="49"/>
  <c r="M57" i="49" l="1"/>
  <c r="L58" i="49"/>
  <c r="F57" i="49"/>
  <c r="H58" i="49" s="1"/>
  <c r="E57"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6" authorId="0" shapeId="0" xr:uid="{1FE2A2F1-5DC7-E04F-BE35-DABC5486E91A}">
      <text>
        <r>
          <rPr>
            <b/>
            <sz val="10"/>
            <color rgb="FF000000"/>
            <rFont val="Tahoma"/>
            <family val="2"/>
          </rPr>
          <t>Microsoft Office User:</t>
        </r>
        <r>
          <rPr>
            <sz val="10"/>
            <color rgb="FF000000"/>
            <rFont val="Tahoma"/>
            <family val="2"/>
          </rPr>
          <t xml:space="preserve">
</t>
        </r>
        <r>
          <rPr>
            <sz val="10"/>
            <color rgb="FF000000"/>
            <rFont val="Tahoma"/>
            <family val="2"/>
          </rPr>
          <t>420</t>
        </r>
      </text>
    </comment>
    <comment ref="C29" authorId="0" shapeId="0" xr:uid="{A052F5DF-390E-8F49-8E71-614DC6925982}">
      <text>
        <r>
          <rPr>
            <b/>
            <sz val="10"/>
            <color rgb="FF000000"/>
            <rFont val="Tahoma"/>
            <family val="2"/>
          </rPr>
          <t>Microsoft Office User:</t>
        </r>
        <r>
          <rPr>
            <sz val="10"/>
            <color rgb="FF000000"/>
            <rFont val="Tahoma"/>
            <family val="2"/>
          </rPr>
          <t xml:space="preserve">
</t>
        </r>
        <r>
          <rPr>
            <sz val="10"/>
            <color rgb="FF000000"/>
            <rFont val="Tahoma"/>
            <family val="2"/>
          </rPr>
          <t xml:space="preserve">originally 750
</t>
        </r>
      </text>
    </comment>
    <comment ref="D43" authorId="0" shapeId="0" xr:uid="{C1929720-27C7-A044-99CA-16760B5D4B99}">
      <text>
        <r>
          <rPr>
            <b/>
            <sz val="10"/>
            <color rgb="FF000000"/>
            <rFont val="Tahoma"/>
            <family val="2"/>
          </rPr>
          <t>Microsoft Office User:</t>
        </r>
        <r>
          <rPr>
            <sz val="10"/>
            <color rgb="FF000000"/>
            <rFont val="Tahoma"/>
            <family val="2"/>
          </rPr>
          <t xml:space="preserve">
</t>
        </r>
        <r>
          <rPr>
            <sz val="10"/>
            <color rgb="FF000000"/>
            <rFont val="Tahoma"/>
            <family val="2"/>
          </rPr>
          <t xml:space="preserve">assuming 180*2.5
</t>
        </r>
        <r>
          <rPr>
            <sz val="10"/>
            <color rgb="FF000000"/>
            <rFont val="Tahoma"/>
            <family val="2"/>
          </rPr>
          <t>and 40*4.55</t>
        </r>
      </text>
    </comment>
    <comment ref="D44" authorId="0" shapeId="0" xr:uid="{DFBC4306-9E39-E24C-B10F-334A87F4FD18}">
      <text>
        <r>
          <rPr>
            <b/>
            <sz val="10"/>
            <color rgb="FF000000"/>
            <rFont val="Tahoma"/>
            <family val="2"/>
          </rPr>
          <t>Microsoft Office User:</t>
        </r>
        <r>
          <rPr>
            <sz val="10"/>
            <color rgb="FF000000"/>
            <rFont val="Tahoma"/>
            <family val="2"/>
          </rPr>
          <t xml:space="preserve">
</t>
        </r>
        <r>
          <rPr>
            <sz val="10"/>
            <color rgb="FF000000"/>
            <rFont val="Tahoma"/>
            <family val="2"/>
          </rPr>
          <t>assuming 180*2.5 and 20*4.5</t>
        </r>
      </text>
    </comment>
    <comment ref="D46" authorId="0" shapeId="0" xr:uid="{D46B8561-E172-AB49-BCDE-C61A6BE8E719}">
      <text>
        <r>
          <rPr>
            <b/>
            <sz val="10"/>
            <color rgb="FF000000"/>
            <rFont val="Tahoma"/>
            <family val="2"/>
          </rPr>
          <t>Microsoft Office User:</t>
        </r>
        <r>
          <rPr>
            <sz val="10"/>
            <color rgb="FF000000"/>
            <rFont val="Tahoma"/>
            <family val="2"/>
          </rPr>
          <t xml:space="preserve">
</t>
        </r>
        <r>
          <rPr>
            <sz val="10"/>
            <color rgb="FF000000"/>
            <rFont val="Tahoma"/>
            <family val="2"/>
          </rPr>
          <t>assuming 165*3 and 15*5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tc={3B8562BD-BFDE-A240-A432-8C15AE4057EB}</author>
  </authors>
  <commentList>
    <comment ref="B7" authorId="0" shapeId="0" xr:uid="{00000000-0006-0000-14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Paper (16), paint(50), tarp(15) paper towels (2), Palets(10), Canvaboard (50)</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Freya Banke Wallis</author>
  </authors>
  <commentList>
    <comment ref="H6" authorId="0" shapeId="0" xr:uid="{B203B7E1-8F27-48EF-B9A1-6C1F9689AD3E}">
      <text>
        <r>
          <rPr>
            <sz val="11"/>
            <color theme="1"/>
            <rFont val="Calibri"/>
            <family val="2"/>
            <scheme val="minor"/>
          </rPr>
          <t>Freya Banke Wallis:
Originally Budgeted -€20,00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Microsoft Office User</author>
    <author>Freya Banke Wallis</author>
  </authors>
  <commentList>
    <comment ref="G6" authorId="0" shapeId="0" xr:uid="{B63B4335-11F2-D443-A0D8-FEB89D061903}">
      <text>
        <r>
          <rPr>
            <b/>
            <sz val="10"/>
            <color rgb="FF000000"/>
            <rFont val="Tahoma"/>
            <family val="2"/>
          </rPr>
          <t>Microsoft Office User:</t>
        </r>
        <r>
          <rPr>
            <sz val="10"/>
            <color rgb="FF000000"/>
            <rFont val="Tahoma"/>
            <family val="2"/>
          </rPr>
          <t xml:space="preserve">
</t>
        </r>
        <r>
          <rPr>
            <sz val="10"/>
            <color rgb="FF000000"/>
            <rFont val="Tahoma"/>
            <family val="2"/>
          </rPr>
          <t>increase to 800? very successful, great meeting point for the different years</t>
        </r>
      </text>
    </comment>
    <comment ref="H9" authorId="1" shapeId="0" xr:uid="{312067D1-EB5F-4F1F-A167-9F274C95A67E}">
      <text>
        <r>
          <rPr>
            <sz val="11"/>
            <color rgb="FF000000"/>
            <rFont val="Calibri"/>
            <family val="2"/>
          </rPr>
          <t xml:space="preserve">Freya Banke Wallis:
</t>
        </r>
        <r>
          <rPr>
            <sz val="11"/>
            <color rgb="FF000000"/>
            <rFont val="Calibri"/>
            <family val="2"/>
          </rPr>
          <t xml:space="preserve">Freya Banke Wallis:
</t>
        </r>
        <r>
          <rPr>
            <sz val="11"/>
            <color rgb="FF000000"/>
            <rFont val="Calibri"/>
            <family val="2"/>
          </rPr>
          <t>Originally Budgeted -€550,00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tc={E6CD3D79-A1E7-FD45-931B-DADB54D50D8D}</author>
    <author>Microsoft Office User</author>
    <author>tc={A86E9AA3-B25C-E34A-8303-2C2EAD77D23C}</author>
    <author>Freya Banke Wallis</author>
  </authors>
  <commentList>
    <comment ref="A1" authorId="0" shapeId="0" xr:uid="{E6CD3D79-A1E7-FD45-931B-DADB54D50D8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 love how many events you’re planning on hosting!!</t>
      </text>
    </comment>
    <comment ref="C11" authorId="1" shapeId="0" xr:uid="{AF873AC2-1EA4-3042-A36A-F32AB1F42454}">
      <text>
        <r>
          <rPr>
            <b/>
            <sz val="10"/>
            <color rgb="FF000000"/>
            <rFont val="Tahoma"/>
            <family val="2"/>
          </rPr>
          <t>Microsoft Office User:</t>
        </r>
        <r>
          <rPr>
            <sz val="10"/>
            <color rgb="FF000000"/>
            <rFont val="Tahoma"/>
            <family val="2"/>
          </rPr>
          <t xml:space="preserve">
</t>
        </r>
        <r>
          <rPr>
            <sz val="10"/>
            <color rgb="FF000000"/>
            <rFont val="Tahoma"/>
            <family val="2"/>
          </rPr>
          <t>originally 2595</t>
        </r>
      </text>
    </comment>
    <comment ref="C16" authorId="1" shapeId="0" xr:uid="{3688A8A2-A885-B549-B13E-9489D1A683F9}">
      <text>
        <r>
          <rPr>
            <b/>
            <sz val="10"/>
            <color rgb="FF000000"/>
            <rFont val="Tahoma"/>
            <family val="2"/>
          </rPr>
          <t>Microsoft Office User:</t>
        </r>
        <r>
          <rPr>
            <sz val="10"/>
            <color rgb="FF000000"/>
            <rFont val="Tahoma"/>
            <family val="2"/>
          </rPr>
          <t xml:space="preserve">
</t>
        </r>
        <r>
          <rPr>
            <sz val="10"/>
            <color rgb="FF000000"/>
            <rFont val="Calibri"/>
            <family val="2"/>
          </rPr>
          <t>60x2x13,60</t>
        </r>
      </text>
    </comment>
    <comment ref="A38" authorId="2" shapeId="0" xr:uid="{A86E9AA3-B25C-E34A-8303-2C2EAD77D2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04.02 potentially</t>
      </text>
    </comment>
    <comment ref="C42" authorId="3" shapeId="0" xr:uid="{75C64676-8A0D-450E-B85D-AA658E051BF3}">
      <text>
        <r>
          <rPr>
            <sz val="11"/>
            <color rgb="FF000000"/>
            <rFont val="Calibri"/>
            <family val="2"/>
          </rPr>
          <t xml:space="preserve">Freya Banke Wallis:
</t>
        </r>
        <r>
          <rPr>
            <sz val="11"/>
            <color rgb="FF000000"/>
            <rFont val="Calibri"/>
            <family val="2"/>
          </rPr>
          <t>Originally Budgeted €7141,59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tc={FC7B0222-19EA-D445-9A9A-1C583AFC2C49}</author>
    <author>Microsoft Office User</author>
    <author>Freya Banke Wallis</author>
    <author>tc={B89019EF-F636-374C-8649-FB6B5EEE88B2}</author>
  </authors>
  <commentList>
    <comment ref="A1" authorId="0" shapeId="0" xr:uid="{FC7B0222-19EA-D445-9A9A-1C583AFC2C4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Fantastic to see another busy schedule of events :)</t>
      </text>
    </comment>
    <comment ref="C8" authorId="1" shapeId="0" xr:uid="{81236D11-340E-B545-B45D-F532C48DF6E9}">
      <text>
        <r>
          <rPr>
            <b/>
            <sz val="10"/>
            <color rgb="FF000000"/>
            <rFont val="Tahoma"/>
            <family val="2"/>
          </rPr>
          <t>Microsoft Office User:</t>
        </r>
        <r>
          <rPr>
            <sz val="10"/>
            <color rgb="FF000000"/>
            <rFont val="Tahoma"/>
            <family val="2"/>
          </rPr>
          <t xml:space="preserve">
</t>
        </r>
        <r>
          <rPr>
            <sz val="10"/>
            <color rgb="FF000000"/>
            <rFont val="Tahoma"/>
            <family val="2"/>
          </rPr>
          <t xml:space="preserve">55 for drinks
</t>
        </r>
        <r>
          <rPr>
            <sz val="10"/>
            <color rgb="FF000000"/>
            <rFont val="Tahoma"/>
            <family val="2"/>
          </rPr>
          <t>5 for cups</t>
        </r>
      </text>
    </comment>
    <comment ref="F13" authorId="2" shapeId="0" xr:uid="{EE4FE312-80B6-461A-A7EE-8811CE707EE7}">
      <text>
        <r>
          <rPr>
            <sz val="11"/>
            <color rgb="FF000000"/>
            <rFont val="Calibri"/>
            <family val="2"/>
          </rPr>
          <t xml:space="preserve">Freya Banke Wallis:
</t>
        </r>
        <r>
          <rPr>
            <sz val="11"/>
            <color rgb="FF000000"/>
            <rFont val="Calibri"/>
            <family val="2"/>
          </rPr>
          <t>Originally Budgeted €138,00 adjusted to realised income</t>
        </r>
      </text>
    </comment>
    <comment ref="A22" authorId="1" shapeId="0" xr:uid="{65024765-7BCC-6549-935B-A5FF8EDA2EBB}">
      <text>
        <r>
          <rPr>
            <b/>
            <sz val="10"/>
            <color rgb="FF000000"/>
            <rFont val="Tahoma"/>
            <family val="2"/>
          </rPr>
          <t>Microsoft Office User:</t>
        </r>
        <r>
          <rPr>
            <sz val="10"/>
            <color rgb="FF000000"/>
            <rFont val="Tahoma"/>
            <family val="2"/>
          </rPr>
          <t xml:space="preserve">
</t>
        </r>
        <r>
          <rPr>
            <sz val="10"/>
            <color rgb="FF000000"/>
            <rFont val="Tahoma"/>
            <family val="2"/>
          </rPr>
          <t>changed to beads event</t>
        </r>
      </text>
    </comment>
    <comment ref="C28" authorId="1" shapeId="0" xr:uid="{CC9DC3FB-3F1B-594F-A71E-A8BA132B068E}">
      <text>
        <r>
          <rPr>
            <b/>
            <sz val="10"/>
            <color rgb="FF000000"/>
            <rFont val="Tahoma"/>
            <family val="2"/>
          </rPr>
          <t>Microsoft Office User:</t>
        </r>
        <r>
          <rPr>
            <sz val="10"/>
            <color rgb="FF000000"/>
            <rFont val="Tahoma"/>
            <family val="2"/>
          </rPr>
          <t xml:space="preserve">
</t>
        </r>
        <r>
          <rPr>
            <sz val="10"/>
            <color rgb="FF000000"/>
            <rFont val="Tahoma"/>
            <family val="2"/>
          </rPr>
          <t>25 * 75 (cost of museumcard)</t>
        </r>
      </text>
    </comment>
    <comment ref="E29" authorId="3" shapeId="0" xr:uid="{B89019EF-F636-374C-8649-FB6B5EEE88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Would you have people spend this amount and then AIM buys the Museumkaarts? Whats the idea here? Would seem like a logistical challenge. 
Antwort:
    Are you planning on paying for the full museumkaart? See note inn expenses column stating 25*€75? Seems like you want to pay the full amount, maybe better to subsidise and then more people benefit from the subsidy </t>
      </text>
    </comment>
    <comment ref="H37" authorId="2" shapeId="0" xr:uid="{82E22C27-D1D0-4B21-A5FE-56E2792E8DF4}">
      <text>
        <r>
          <rPr>
            <sz val="11"/>
            <color rgb="FF000000"/>
            <rFont val="Calibri"/>
            <family val="2"/>
          </rPr>
          <t xml:space="preserve">Freya Banke Wallis:
</t>
        </r>
        <r>
          <rPr>
            <sz val="11"/>
            <color rgb="FF000000"/>
            <rFont val="Calibri"/>
            <family val="2"/>
          </rPr>
          <t xml:space="preserve">Originally Budgeted €143,00 adjusted to realised costs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Freya Banke Wallis</author>
  </authors>
  <commentList>
    <comment ref="C3" authorId="0" shapeId="0" xr:uid="{DA8FDFE8-456D-D24A-9F75-79924A2F0BFC}">
      <text>
        <r>
          <rPr>
            <b/>
            <sz val="10"/>
            <color rgb="FF000000"/>
            <rFont val="Tahoma"/>
            <family val="2"/>
          </rPr>
          <t>Microsoft Office User:</t>
        </r>
        <r>
          <rPr>
            <sz val="10"/>
            <color rgb="FF000000"/>
            <rFont val="Tahoma"/>
            <family val="2"/>
          </rPr>
          <t xml:space="preserve">
</t>
        </r>
        <r>
          <rPr>
            <sz val="10"/>
            <color rgb="FF000000"/>
            <rFont val="Tahoma"/>
            <family val="2"/>
          </rPr>
          <t>4 * 20</t>
        </r>
      </text>
    </comment>
    <comment ref="C10" authorId="0" shapeId="0" xr:uid="{E9B55217-4DFD-E542-9CB5-C49B749CDA51}">
      <text>
        <r>
          <rPr>
            <b/>
            <sz val="10"/>
            <color rgb="FF000000"/>
            <rFont val="Tahoma"/>
            <family val="2"/>
          </rPr>
          <t>Microsoft Office User:</t>
        </r>
        <r>
          <rPr>
            <sz val="10"/>
            <color rgb="FF000000"/>
            <rFont val="Tahoma"/>
            <family val="2"/>
          </rPr>
          <t xml:space="preserve">
</t>
        </r>
        <r>
          <rPr>
            <sz val="10"/>
            <color rgb="FF000000"/>
            <rFont val="Tahoma"/>
            <family val="2"/>
          </rPr>
          <t>Paper plates, napkins, decoration</t>
        </r>
      </text>
    </comment>
    <comment ref="H29" authorId="1" shapeId="0" xr:uid="{5F01D41C-FA6F-4285-B387-EC403633B866}">
      <text>
        <r>
          <rPr>
            <sz val="11"/>
            <color rgb="FF000000"/>
            <rFont val="Calibri"/>
            <family val="2"/>
          </rPr>
          <t xml:space="preserve">Freya Banke Wallis:
</t>
        </r>
        <r>
          <rPr>
            <sz val="11"/>
            <color rgb="FF000000"/>
            <rFont val="Calibri"/>
            <family val="2"/>
          </rPr>
          <t xml:space="preserve">Originally Budgeted -€66,00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3" authorId="0" shapeId="0" xr:uid="{CFDE91E5-0292-5241-A2DA-780DDD4B7793}">
      <text>
        <r>
          <rPr>
            <b/>
            <sz val="10"/>
            <color rgb="FF000000"/>
            <rFont val="Tahoma"/>
            <family val="2"/>
          </rPr>
          <t>Microsoft Office User:</t>
        </r>
        <r>
          <rPr>
            <sz val="10"/>
            <color rgb="FF000000"/>
            <rFont val="Tahoma"/>
            <family val="2"/>
          </rPr>
          <t xml:space="preserve">
</t>
        </r>
        <r>
          <rPr>
            <sz val="10"/>
            <color rgb="FF000000"/>
            <rFont val="Tahoma"/>
            <family val="2"/>
          </rPr>
          <t>120 * 3.50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Freya Banke Wallis</author>
  </authors>
  <commentList>
    <comment ref="C12" authorId="0" shapeId="0" xr:uid="{157326FB-0794-1A43-B785-D931AA6706CC}">
      <text>
        <r>
          <rPr>
            <b/>
            <sz val="10"/>
            <color rgb="FF000000"/>
            <rFont val="Tahoma"/>
            <family val="2"/>
          </rPr>
          <t>Microsoft Office User:</t>
        </r>
        <r>
          <rPr>
            <sz val="10"/>
            <color rgb="FF000000"/>
            <rFont val="Tahoma"/>
            <family val="2"/>
          </rPr>
          <t xml:space="preserve">
</t>
        </r>
        <r>
          <rPr>
            <sz val="10"/>
            <color rgb="FF000000"/>
            <rFont val="Tahoma"/>
            <family val="2"/>
          </rPr>
          <t>Share of rental and open bar costs in proportion to their ticket sales</t>
        </r>
      </text>
    </comment>
    <comment ref="H15" authorId="1" shapeId="0" xr:uid="{3B4FD4B0-D387-4C02-B87E-164E856397C8}">
      <text>
        <r>
          <rPr>
            <sz val="11"/>
            <color rgb="FF000000"/>
            <rFont val="Calibri"/>
            <family val="2"/>
          </rPr>
          <t xml:space="preserve">Freya Banke Wallis:
</t>
        </r>
        <r>
          <rPr>
            <sz val="11"/>
            <color rgb="FF000000"/>
            <rFont val="Calibri"/>
            <family val="2"/>
          </rPr>
          <t>Originally Budgeted +€22,50 but AIM subsidised open bar</t>
        </r>
      </text>
    </comment>
    <comment ref="C16" authorId="0" shapeId="0" xr:uid="{6197BA02-BAAD-A846-84AC-2FBCF4AA5CF3}">
      <text>
        <r>
          <rPr>
            <b/>
            <sz val="10"/>
            <color rgb="FF000000"/>
            <rFont val="Tahoma"/>
            <family val="2"/>
          </rPr>
          <t>Microsoft Office User:</t>
        </r>
        <r>
          <rPr>
            <sz val="10"/>
            <color rgb="FF000000"/>
            <rFont val="Tahoma"/>
            <family val="2"/>
          </rPr>
          <t xml:space="preserve">
</t>
        </r>
        <r>
          <rPr>
            <sz val="10"/>
            <color rgb="FF000000"/>
            <rFont val="Tahoma"/>
            <family val="2"/>
          </rPr>
          <t>3,50 *100</t>
        </r>
      </text>
    </comment>
    <comment ref="B20" authorId="0" shapeId="0" xr:uid="{24DFF7D7-3588-CC4C-8164-0D683AFB6DC6}">
      <text>
        <r>
          <rPr>
            <b/>
            <sz val="10"/>
            <color rgb="FF000000"/>
            <rFont val="Tahoma"/>
            <family val="2"/>
          </rPr>
          <t>Microsoft Office User:</t>
        </r>
        <r>
          <rPr>
            <sz val="10"/>
            <color rgb="FF000000"/>
            <rFont val="Tahoma"/>
            <family val="2"/>
          </rPr>
          <t xml:space="preserve">
</t>
        </r>
        <r>
          <rPr>
            <sz val="10"/>
            <color rgb="FF000000"/>
            <rFont val="Tahoma"/>
            <family val="2"/>
          </rPr>
          <t>done through wepartynow, therefore no financial obligations</t>
        </r>
      </text>
    </comment>
    <comment ref="H50" authorId="1" shapeId="0" xr:uid="{D6A8B97C-B1B0-4AD3-A51D-ABD577A4A5AC}">
      <text>
        <r>
          <rPr>
            <sz val="11"/>
            <color rgb="FF000000"/>
            <rFont val="Calibri"/>
            <family val="2"/>
          </rPr>
          <t xml:space="preserve">Freya Banke Wallis:
</t>
        </r>
        <r>
          <rPr>
            <sz val="11"/>
            <color rgb="FF000000"/>
            <rFont val="Calibri"/>
            <family val="2"/>
          </rPr>
          <t>Originally Budgeted €2033,50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tc={555B109F-A0B1-C748-8685-CE6FC91EC3A6}</author>
    <author>Freya Banke Wallis</author>
  </authors>
  <commentList>
    <comment ref="C11" authorId="0" shapeId="0" xr:uid="{471C563D-9002-174D-90C1-6517A3E07291}">
      <text>
        <r>
          <rPr>
            <b/>
            <sz val="10"/>
            <color rgb="FF000000"/>
            <rFont val="Tahoma"/>
            <family val="2"/>
          </rPr>
          <t>Microsoft Office User:</t>
        </r>
        <r>
          <rPr>
            <sz val="10"/>
            <color rgb="FF000000"/>
            <rFont val="Tahoma"/>
            <family val="2"/>
          </rPr>
          <t xml:space="preserve">
</t>
        </r>
        <r>
          <rPr>
            <sz val="10"/>
            <color rgb="FF000000"/>
            <rFont val="Tahoma"/>
            <family val="2"/>
          </rPr>
          <t>55*10</t>
        </r>
      </text>
    </comment>
    <comment ref="E13" authorId="1" shapeId="0" xr:uid="{555B109F-A0B1-C748-8685-CE6FC91EC3A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Depending on how demand was last year you would reduce the ticket price a little. Especially since you’re receiving sponsorship</t>
      </text>
    </comment>
    <comment ref="C21" authorId="0" shapeId="0" xr:uid="{55E9A8C4-F74C-704F-9974-E0CB21D82967}">
      <text>
        <r>
          <rPr>
            <b/>
            <sz val="10"/>
            <color rgb="FF000000"/>
            <rFont val="Tahoma"/>
            <family val="2"/>
          </rPr>
          <t>Microsoft Office User:</t>
        </r>
        <r>
          <rPr>
            <sz val="10"/>
            <color rgb="FF000000"/>
            <rFont val="Tahoma"/>
            <family val="2"/>
          </rPr>
          <t xml:space="preserve">
</t>
        </r>
        <r>
          <rPr>
            <sz val="10"/>
            <color rgb="FF000000"/>
            <rFont val="Tahoma"/>
            <family val="2"/>
          </rPr>
          <t>&amp; lanes for 2 hours</t>
        </r>
      </text>
    </comment>
    <comment ref="H56" authorId="2" shapeId="0" xr:uid="{DD7CF92B-D06F-4F1D-83B5-D4C112CD4664}">
      <text>
        <r>
          <rPr>
            <sz val="11"/>
            <color rgb="FF000000"/>
            <rFont val="Calibri"/>
            <family val="2"/>
          </rPr>
          <t xml:space="preserve">Freya Banke Wallis:
</t>
        </r>
        <r>
          <rPr>
            <sz val="11"/>
            <color rgb="FF000000"/>
            <rFont val="Calibri"/>
            <family val="2"/>
          </rPr>
          <t>Originally Budgeted €173,50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Freya Banke Wallis</author>
  </authors>
  <commentList>
    <comment ref="I8" authorId="0" shapeId="0" xr:uid="{6755D2E7-9348-474C-9B05-92F0D017F758}">
      <text>
        <r>
          <rPr>
            <b/>
            <sz val="10"/>
            <color rgb="FF000000"/>
            <rFont val="Tahoma"/>
            <family val="2"/>
          </rPr>
          <t>Microsoft Office User:</t>
        </r>
        <r>
          <rPr>
            <sz val="10"/>
            <color rgb="FF000000"/>
            <rFont val="Tahoma"/>
            <family val="2"/>
          </rPr>
          <t xml:space="preserve">
</t>
        </r>
        <r>
          <rPr>
            <sz val="10"/>
            <color rgb="FF000000"/>
            <rFont val="Tahoma"/>
            <family val="2"/>
          </rPr>
          <t xml:space="preserve">we are still getting back 200€ from booking
</t>
        </r>
      </text>
    </comment>
    <comment ref="H13" authorId="1" shapeId="0" xr:uid="{31F701DF-329A-4311-9C47-6833CCB2389D}">
      <text>
        <r>
          <rPr>
            <sz val="11"/>
            <color rgb="FF000000"/>
            <rFont val="Calibri"/>
            <family val="2"/>
          </rPr>
          <t xml:space="preserve">Freya Banke Wallis:
</t>
        </r>
        <r>
          <rPr>
            <sz val="11"/>
            <color rgb="FF000000"/>
            <rFont val="Calibri"/>
            <family val="2"/>
          </rPr>
          <t>Originally Budgeted €450,00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Freya Banke Wallis</author>
  </authors>
  <commentList>
    <comment ref="F11" authorId="0" shapeId="0" xr:uid="{096971C8-8DDF-42D2-9D82-082DF38A8B24}">
      <text>
        <r>
          <rPr>
            <sz val="11"/>
            <color theme="1"/>
            <rFont val="Calibri"/>
            <family val="2"/>
            <scheme val="minor"/>
          </rPr>
          <t xml:space="preserve">Freya Banke Wallis:
Originally Budgeted €3600,00 - increased due to expected turnout </t>
        </r>
      </text>
    </comment>
  </commentList>
</comments>
</file>

<file path=xl/sharedStrings.xml><?xml version="1.0" encoding="utf-8"?>
<sst xmlns="http://schemas.openxmlformats.org/spreadsheetml/2006/main" count="38284" uniqueCount="7669">
  <si>
    <t>AIM Budget 2023/2024</t>
  </si>
  <si>
    <t xml:space="preserve">Navigating the Budget </t>
  </si>
  <si>
    <t xml:space="preserve">Sheet Name </t>
  </si>
  <si>
    <t>Description</t>
  </si>
  <si>
    <t xml:space="preserve">Welcome </t>
  </si>
  <si>
    <t>Cashbook Navigation</t>
  </si>
  <si>
    <t xml:space="preserve">How to navtigate the chashbooks. </t>
  </si>
  <si>
    <t>Kostensoorts</t>
  </si>
  <si>
    <t>Labels for Cashbooks</t>
  </si>
  <si>
    <t>Cashbook ING</t>
  </si>
  <si>
    <t>All transactions registered through ING.</t>
  </si>
  <si>
    <t>Cashbook Wix</t>
  </si>
  <si>
    <t>All transactions registered through WIX.</t>
  </si>
  <si>
    <t>Budget Navigation</t>
  </si>
  <si>
    <t>Overall spending of committes in total.</t>
  </si>
  <si>
    <t xml:space="preserve">Overview </t>
  </si>
  <si>
    <t xml:space="preserve">Overview of all expenses from board, committes &amp; organisations.  </t>
  </si>
  <si>
    <t>Memberships 25_26</t>
  </si>
  <si>
    <t>Amount and income of AIM memberships</t>
  </si>
  <si>
    <t xml:space="preserve">Board </t>
  </si>
  <si>
    <t>Board expenses (trips, events, transport etc…)</t>
  </si>
  <si>
    <t xml:space="preserve">Academic Comittee </t>
  </si>
  <si>
    <t xml:space="preserve">Academic individual Event Transactions (expenses and income) </t>
  </si>
  <si>
    <t>Awareness Comittee</t>
  </si>
  <si>
    <t xml:space="preserve">Awareness individual Event Transactions (expenses and income) </t>
  </si>
  <si>
    <t>Arts Comittee</t>
  </si>
  <si>
    <t xml:space="preserve">Art individual Event Transactions (expenses and income) </t>
  </si>
  <si>
    <t xml:space="preserve">Party Comittee </t>
  </si>
  <si>
    <t xml:space="preserve">Party individual Event Transactions (expenses and income) </t>
  </si>
  <si>
    <t xml:space="preserve">Buddy Comittee </t>
  </si>
  <si>
    <t xml:space="preserve">Buddy individual Event Transactions (expenses and income) </t>
  </si>
  <si>
    <t xml:space="preserve">Sports Comittee </t>
  </si>
  <si>
    <t xml:space="preserve">Sports individual Event Transactions (expenses and income) </t>
  </si>
  <si>
    <t>Freshmen Weekend Comittee</t>
  </si>
  <si>
    <t xml:space="preserve">FMW Event Transactions (expenses and income) </t>
  </si>
  <si>
    <t>Third Year Weekend Comittee</t>
  </si>
  <si>
    <t xml:space="preserve">TYW Event Transactions (expenses and income) </t>
  </si>
  <si>
    <t xml:space="preserve">Yearbook Comittee </t>
  </si>
  <si>
    <t xml:space="preserve">Yearbook Transactions (expenses and income) </t>
  </si>
  <si>
    <t xml:space="preserve">AIM Week </t>
  </si>
  <si>
    <t>AIM Week event transactions (expesnes and income)</t>
  </si>
  <si>
    <t>AmsUnlocked</t>
  </si>
  <si>
    <t>Amsterdam Unlocked transactions (investments, expenses &amp; income)</t>
  </si>
  <si>
    <t>AIM Sports Teams</t>
  </si>
  <si>
    <t>AIM sports teams transactions (income and expenses)</t>
  </si>
  <si>
    <t xml:space="preserve">Merchendise  </t>
  </si>
  <si>
    <t xml:space="preserve">Expenses and income for AIM Merch </t>
  </si>
  <si>
    <t>Technical terms for ING Cashbook (Kostenplaats Code):</t>
  </si>
  <si>
    <t>BG</t>
  </si>
  <si>
    <t xml:space="preserve">Board General </t>
  </si>
  <si>
    <t>BE</t>
  </si>
  <si>
    <t>Board Event</t>
  </si>
  <si>
    <t>AC</t>
  </si>
  <si>
    <t xml:space="preserve">Academic </t>
  </si>
  <si>
    <t>AW</t>
  </si>
  <si>
    <t xml:space="preserve">Awareness </t>
  </si>
  <si>
    <t>ART</t>
  </si>
  <si>
    <t xml:space="preserve">Art </t>
  </si>
  <si>
    <t>MUN</t>
  </si>
  <si>
    <t>PT</t>
  </si>
  <si>
    <t xml:space="preserve">Party </t>
  </si>
  <si>
    <t>BD</t>
  </si>
  <si>
    <t>Buddy</t>
  </si>
  <si>
    <t>SP</t>
  </si>
  <si>
    <t>Sports</t>
  </si>
  <si>
    <t>FMW</t>
  </si>
  <si>
    <t xml:space="preserve">Freshmen Weekend </t>
  </si>
  <si>
    <t>TYW</t>
  </si>
  <si>
    <t xml:space="preserve">Third Year Weekend </t>
  </si>
  <si>
    <t>LT</t>
  </si>
  <si>
    <t xml:space="preserve">Lustrum </t>
  </si>
  <si>
    <t>YB</t>
  </si>
  <si>
    <t xml:space="preserve">Yearbook </t>
  </si>
  <si>
    <t>AIMW</t>
  </si>
  <si>
    <t>AMSU</t>
  </si>
  <si>
    <t xml:space="preserve">Amsterdam Unlocked </t>
  </si>
  <si>
    <t>SPTEAM</t>
  </si>
  <si>
    <t xml:space="preserve">AIM Sports Teams </t>
  </si>
  <si>
    <t>MRCH</t>
  </si>
  <si>
    <t xml:space="preserve">Merchendise </t>
  </si>
  <si>
    <t>See Cashbook_Wix</t>
  </si>
  <si>
    <t>MEMBERSHIPS</t>
  </si>
  <si>
    <t>Memberships_24/25</t>
  </si>
  <si>
    <t>BG_NewBoardExpense</t>
  </si>
  <si>
    <t>BG_ASVA</t>
  </si>
  <si>
    <t>BG_Account23/24</t>
  </si>
  <si>
    <t>BG_Atheaneum</t>
  </si>
  <si>
    <t>BG_Sweaters</t>
  </si>
  <si>
    <t>BG_OfficeSupplies</t>
  </si>
  <si>
    <t>BG_Sponsors</t>
  </si>
  <si>
    <t>BG_BusinessCards</t>
  </si>
  <si>
    <t>BG_DutchCourse</t>
  </si>
  <si>
    <t>BG_Canva</t>
  </si>
  <si>
    <t>BG_Photos</t>
  </si>
  <si>
    <t>BG_Domain</t>
  </si>
  <si>
    <t>BG_Partners</t>
  </si>
  <si>
    <t>BG_SAWorkshop</t>
  </si>
  <si>
    <t>BG_FirstAID</t>
  </si>
  <si>
    <t>BG_BystanderTraining</t>
  </si>
  <si>
    <t>BG_Roses</t>
  </si>
  <si>
    <t>BG_INGTransactionCosts</t>
  </si>
  <si>
    <t>BG_Lustrum</t>
  </si>
  <si>
    <t>BG_Memberships</t>
  </si>
  <si>
    <t>BG_Moneybird</t>
  </si>
  <si>
    <t>BG_Zoom</t>
  </si>
  <si>
    <t>BG_OldBoardExpense</t>
  </si>
  <si>
    <t>BG_OldBoardIncome</t>
  </si>
  <si>
    <t>BG_Transportation</t>
  </si>
  <si>
    <t>BG_Unforeseen_Income</t>
  </si>
  <si>
    <t>BG_Unforeseen_Cost</t>
  </si>
  <si>
    <t>BG_Wix</t>
  </si>
  <si>
    <t>BG_WixEmail</t>
  </si>
  <si>
    <t>BG_OldBoardAppreciation</t>
  </si>
  <si>
    <t>BG_PPLEUnforeseenContribution</t>
  </si>
  <si>
    <t>BG_ExcelCourse</t>
  </si>
  <si>
    <t>BG_Merch</t>
  </si>
  <si>
    <t>BG_Board23/24Expenses</t>
  </si>
  <si>
    <t>BG_Board23/24Income</t>
  </si>
  <si>
    <t>BG_Board23/24Sponsorship</t>
  </si>
  <si>
    <t>BG_Board23/24CurrenttoBaseline</t>
  </si>
  <si>
    <t>BG_Board23/24CurrenttoLustrum</t>
  </si>
  <si>
    <t>BE_Meetings</t>
  </si>
  <si>
    <t>BE_Weekend_Nov</t>
  </si>
  <si>
    <t>BE_Weekend_Jan</t>
  </si>
  <si>
    <t>BE_Weekend_TransitionIncome</t>
  </si>
  <si>
    <t>BE_Weekend_Transition</t>
  </si>
  <si>
    <t>BE_Weekend_May</t>
  </si>
  <si>
    <t>BE_COBO</t>
  </si>
  <si>
    <t>BE_GraduationBorrel</t>
  </si>
  <si>
    <t>BE_Dinner</t>
  </si>
  <si>
    <t>BE_Committee_Appreciation</t>
  </si>
  <si>
    <t>BE_Committee_Workshop</t>
  </si>
  <si>
    <t>BE_EMOTRAINING</t>
  </si>
  <si>
    <t>BE_GA</t>
  </si>
  <si>
    <t>BE_MemberAppreciation</t>
  </si>
  <si>
    <t>BE_Potluck</t>
  </si>
  <si>
    <t>BE_SpringBoard</t>
  </si>
  <si>
    <t>BE_Borrel1_Drinks</t>
  </si>
  <si>
    <t>BE_Borrel1_Member</t>
  </si>
  <si>
    <t>BE_Borrel1_NonMember</t>
  </si>
  <si>
    <t>BE_Borrel2_Drinks</t>
  </si>
  <si>
    <t>BE_Borrel2_Member</t>
  </si>
  <si>
    <t>BE_Borrel2_NonMember</t>
  </si>
  <si>
    <t>BE_Borrel3_Drinks</t>
  </si>
  <si>
    <t>BE_Borrel3_Supplies</t>
  </si>
  <si>
    <t>BE_Borrel3_Rent</t>
  </si>
  <si>
    <t>BE_Borrel3_OtherAssociations</t>
  </si>
  <si>
    <t>BE_Borrel3_Member</t>
  </si>
  <si>
    <t>BE_Borrel3_NonMember</t>
  </si>
  <si>
    <t>BE_BoardBorrel_PPE_Costs</t>
  </si>
  <si>
    <t>BE_BoardBorrel_PPE_Member</t>
  </si>
  <si>
    <t>BE_BoardBorrel_PPE_NonMember</t>
  </si>
  <si>
    <t>BE_BoardBorrel_AUC_Member</t>
  </si>
  <si>
    <t>BE_BoardBorrel_AUC_NonMember</t>
  </si>
  <si>
    <t>BE_BoardBorrel_MAA_Tokens</t>
  </si>
  <si>
    <t>BE_BoardBorrel_MAA_Member</t>
  </si>
  <si>
    <t>BE_BoardBorrel_MAA_NonMember</t>
  </si>
  <si>
    <t>BE_ElectionNight_NonMember</t>
  </si>
  <si>
    <t>BE_ElectionNight_Member</t>
  </si>
  <si>
    <t>BE_ElectionNight_Costs</t>
  </si>
  <si>
    <t>BE_IntroParty_Rent</t>
  </si>
  <si>
    <t>BE_IntroParty_Drinks</t>
  </si>
  <si>
    <t>BE_IntroParty_DJ</t>
  </si>
  <si>
    <t>BE_IntroParty_Member</t>
  </si>
  <si>
    <t>BE_IntroParty_NonMember</t>
  </si>
  <si>
    <t>BE_IntroParty_OtherAssociation</t>
  </si>
  <si>
    <t>AW_CharityWork_Snacks</t>
  </si>
  <si>
    <t>AW_SpeakerEvent_Member</t>
  </si>
  <si>
    <t>AW_SpeakerEvent_NonMember</t>
  </si>
  <si>
    <t>AW_SpeakerEvent_Snacks</t>
  </si>
  <si>
    <t>AW_AdventCalendar</t>
  </si>
  <si>
    <t>AW_EarthCleanup</t>
  </si>
  <si>
    <t>AW_</t>
  </si>
  <si>
    <t>AC_StudySessions_Snacks</t>
  </si>
  <si>
    <t>AC_TheHague_NonMember</t>
  </si>
  <si>
    <t>AC_TheHague_Member</t>
  </si>
  <si>
    <t>AC_TheHague_Transportation</t>
  </si>
  <si>
    <t>AC_BookExchange_Snacks</t>
  </si>
  <si>
    <t>AC_DebateCup_Prize</t>
  </si>
  <si>
    <t>AC_DrunkDebate_Drinks</t>
  </si>
  <si>
    <t>AC_DrunkDebate_Snacks</t>
  </si>
  <si>
    <t>AC_DrunkDebate_Member</t>
  </si>
  <si>
    <t>AC_DrunkDebate_NonMember</t>
  </si>
  <si>
    <t>AC_GameNight_Member</t>
  </si>
  <si>
    <t>AC_GameNight_NonMember</t>
  </si>
  <si>
    <t>AC_RhetoricSpeechEvent_Rent</t>
  </si>
  <si>
    <t>AC_RhetoricSpeechEvent_Flowers</t>
  </si>
  <si>
    <t>AC_RhetoricSpeechEvent_Sponsorship</t>
  </si>
  <si>
    <t>AC_Brussels_Transport</t>
  </si>
  <si>
    <t>AC_Brussels_Member</t>
  </si>
  <si>
    <t>AC_Brussels_NonMember</t>
  </si>
  <si>
    <t>AC_DebateSessions_Snacks</t>
  </si>
  <si>
    <t>AC_</t>
  </si>
  <si>
    <t>ART_Gingerbread_Member</t>
  </si>
  <si>
    <t>ART_Gingerbread_NonMember</t>
  </si>
  <si>
    <t>ART_Gingerbread_Price</t>
  </si>
  <si>
    <t>ART_Gingerbread_Gingerbread</t>
  </si>
  <si>
    <t>ART_Gingerbread_Decoration</t>
  </si>
  <si>
    <t>ART_SipandPaint_Member</t>
  </si>
  <si>
    <t>ART_SipandPaint_NonMember</t>
  </si>
  <si>
    <t>ART_SipandPaint_Supplies</t>
  </si>
  <si>
    <t>ART_SipandPaint_Snacks</t>
  </si>
  <si>
    <t>ART_MovieNight_Snacks</t>
  </si>
  <si>
    <t>ART_Museumkaart</t>
  </si>
  <si>
    <t>ART_Totebag_Snacks</t>
  </si>
  <si>
    <t>ART_Totebag_Totebag</t>
  </si>
  <si>
    <t>ART_Totebag_Member</t>
  </si>
  <si>
    <t>ART_Totebag_NonMember</t>
  </si>
  <si>
    <t>ART_Beads_Supplies</t>
  </si>
  <si>
    <t>PT_Transition_Drinks</t>
  </si>
  <si>
    <t>PT_Transition_Decoration</t>
  </si>
  <si>
    <t xml:space="preserve">PT_Transition_DJ </t>
  </si>
  <si>
    <t>PT_Transition_Member</t>
  </si>
  <si>
    <t>PT_Transition_NonMember</t>
  </si>
  <si>
    <t>PT_Christmas_Rent</t>
  </si>
  <si>
    <t>PT_Christmas_OtherAssociations</t>
  </si>
  <si>
    <t>PT_Christmas_Decoration</t>
  </si>
  <si>
    <t>PT_Christmas_DJ</t>
  </si>
  <si>
    <t>PT_Christmas_Member</t>
  </si>
  <si>
    <t>PT_Christmas_NonMember</t>
  </si>
  <si>
    <t>PT_NewYearsBorrel_Member</t>
  </si>
  <si>
    <t>PT_NewYearsBorrel_NonMember</t>
  </si>
  <si>
    <t>PT_NewYearsBorrel_Drinks</t>
  </si>
  <si>
    <t>PT_BeerPong_Beer</t>
  </si>
  <si>
    <t>PT_BeerPong_Supplies</t>
  </si>
  <si>
    <t>PT_BeerPong_Member</t>
  </si>
  <si>
    <t>PT_BeerPong_NonMember</t>
  </si>
  <si>
    <t>PT_SilentDisco_Location</t>
  </si>
  <si>
    <t>PT_SilentDisco_DJ</t>
  </si>
  <si>
    <t>PT_Formal_Decorations</t>
  </si>
  <si>
    <t>PT_Formal_Rent</t>
  </si>
  <si>
    <t>PT_Formal_Photographer</t>
  </si>
  <si>
    <t>PT_Formal_DJ</t>
  </si>
  <si>
    <t>PT_Formal_Band</t>
  </si>
  <si>
    <t>PT_Formal_Member</t>
  </si>
  <si>
    <t>PT_Formal_NonMember</t>
  </si>
  <si>
    <t>PT_BoatParty_Security</t>
  </si>
  <si>
    <t>PT_BoatParty_Costs</t>
  </si>
  <si>
    <t>PT_BoatParty_DJ</t>
  </si>
  <si>
    <t>PT_BoatParty_Member</t>
  </si>
  <si>
    <t>PT_BoatParty_NonMember</t>
  </si>
  <si>
    <t>SP_PoolBorrel_Tables</t>
  </si>
  <si>
    <t>SP_PoolBorrel_Tokens</t>
  </si>
  <si>
    <t>SP_PoolBorrel_Member</t>
  </si>
  <si>
    <t>SP_PoolBorrel_NonMember</t>
  </si>
  <si>
    <t>SP_HIIT_Member</t>
  </si>
  <si>
    <t>SP_HIIT_NonMember</t>
  </si>
  <si>
    <t>SP_HIIT_Rent</t>
  </si>
  <si>
    <t>SP_SpinClass_Rent</t>
  </si>
  <si>
    <t>SP_SpinClass_Drinks&amp;Snacks</t>
  </si>
  <si>
    <t>SP_SpinClass_Member</t>
  </si>
  <si>
    <t>SP_SpinClass_NonMember</t>
  </si>
  <si>
    <t>SP_FootballTournament_Member</t>
  </si>
  <si>
    <t>SP_FootballTournament_NonMember</t>
  </si>
  <si>
    <t xml:space="preserve">SP_FootballTournament_Fields </t>
  </si>
  <si>
    <t>SP_FootballTournament_Snacks&amp;Supplies</t>
  </si>
  <si>
    <t>SP_IceSkating_Snacks</t>
  </si>
  <si>
    <t>SP_IceSkating_Tickets</t>
  </si>
  <si>
    <t>SP_IceSkating_Member</t>
  </si>
  <si>
    <t>SP_IceSkating_NonMember</t>
  </si>
  <si>
    <t>SP_Fuzball_Snacks</t>
  </si>
  <si>
    <t>SP_Fuzball_Prize</t>
  </si>
  <si>
    <t>SP_Volleyball_Rent</t>
  </si>
  <si>
    <t>SP_Volleyball_Snacks&amp;Supplies</t>
  </si>
  <si>
    <t>SP_Volleyball_Prize</t>
  </si>
  <si>
    <t>SP_Volleyball_Member</t>
  </si>
  <si>
    <t>SP_Volleyball_NonMember</t>
  </si>
  <si>
    <t>SP_Volleyball_OtherAssociations</t>
  </si>
  <si>
    <t>BD_RevealBorrel_Supplies</t>
  </si>
  <si>
    <t>BD_RevealBorrel_Drinks</t>
  </si>
  <si>
    <t>BD_RevealBorrel_Member</t>
  </si>
  <si>
    <t>BD_RevealBorrel_NonMember</t>
  </si>
  <si>
    <t>BD_GameNight_Tokens</t>
  </si>
  <si>
    <t>BD_GameNight_Supplies</t>
  </si>
  <si>
    <t>BD_GameNight_Member</t>
  </si>
  <si>
    <t>BD_GameNight_NonMember</t>
  </si>
  <si>
    <t>BD_Bowling_OpenBar</t>
  </si>
  <si>
    <t>BD_Bowling_Rent</t>
  </si>
  <si>
    <t>BD_Bowling_Member</t>
  </si>
  <si>
    <t>BD_Bowling_NonMember</t>
  </si>
  <si>
    <t>BD_Boozy_Supplies</t>
  </si>
  <si>
    <t>BD_Boozy_Food&amp;Drinks</t>
  </si>
  <si>
    <t>BD_Boozy_Spectator_Member</t>
  </si>
  <si>
    <t>BD_Boozy_Spectator_NonMember</t>
  </si>
  <si>
    <t>BD_Boozy_Participant_Member</t>
  </si>
  <si>
    <t>BD_Boozy_Participant_NonMember</t>
  </si>
  <si>
    <t>BD_EasterEgg_Supplies</t>
  </si>
  <si>
    <t>BD_ValentinesNotes_Supplies</t>
  </si>
  <si>
    <t>BD_Hiking_Food/Drinks</t>
  </si>
  <si>
    <t>AIMTeam_Volleyball_Expenses</t>
  </si>
  <si>
    <t>AIMTeam_Volleyball_Ticket</t>
  </si>
  <si>
    <t>AIMTeam_Football_Expenses</t>
  </si>
  <si>
    <t>AIMTeam_Football_Ticket</t>
  </si>
  <si>
    <t>FMW_Tickets</t>
  </si>
  <si>
    <t>FMW_Supplies</t>
  </si>
  <si>
    <t>FMW_Tokens</t>
  </si>
  <si>
    <t>FMW_Unforeseen</t>
  </si>
  <si>
    <t>FMW_Accommodation</t>
  </si>
  <si>
    <t>FMW_Transportation</t>
  </si>
  <si>
    <t>FMW_Gas</t>
  </si>
  <si>
    <t>FMW_Food</t>
  </si>
  <si>
    <t>FMW_Drinks</t>
  </si>
  <si>
    <t>FMW_Sweaters</t>
  </si>
  <si>
    <t>TYW_Cleaning</t>
  </si>
  <si>
    <t>TYW_Location</t>
  </si>
  <si>
    <t>TYW_Drinks</t>
  </si>
  <si>
    <t>TYW_Food</t>
  </si>
  <si>
    <t>TYW_Unforseen</t>
  </si>
  <si>
    <t>TYW_Transport</t>
  </si>
  <si>
    <t>TYW_Tickets</t>
  </si>
  <si>
    <t>TYW_Activities</t>
  </si>
  <si>
    <t>TYW_DrinksSale</t>
  </si>
  <si>
    <t>TYW_Member</t>
  </si>
  <si>
    <t>TYW_NonMember</t>
  </si>
  <si>
    <t>TYW_Funding</t>
  </si>
  <si>
    <t>Cash Income</t>
  </si>
  <si>
    <t>Cash Expense</t>
  </si>
  <si>
    <t>BaselinetoCurrent</t>
  </si>
  <si>
    <t>CurrenttoBaseline</t>
  </si>
  <si>
    <t xml:space="preserve">LustrumtoCurrent </t>
  </si>
  <si>
    <t>CurrenttoLustrum</t>
  </si>
  <si>
    <t>UvA_Sponsorship</t>
  </si>
  <si>
    <t>YB_Books</t>
  </si>
  <si>
    <t>YB_Photos</t>
  </si>
  <si>
    <t>AIMW_Karaoke</t>
  </si>
  <si>
    <t>AIMW_Bowling</t>
  </si>
  <si>
    <t>AIMW_ParkDay</t>
  </si>
  <si>
    <t>AIMW_Supplies</t>
  </si>
  <si>
    <t>AIMW_Party_OpenBar</t>
  </si>
  <si>
    <t>AIMW_Party_DJ</t>
  </si>
  <si>
    <t>AIMW_Pizza</t>
  </si>
  <si>
    <t>AIMW_Tickets</t>
  </si>
  <si>
    <t>AMSUnlocked_Return</t>
  </si>
  <si>
    <t>AMSUnlocked_Investment</t>
  </si>
  <si>
    <t>AMSUnlocked_Unforeseen</t>
  </si>
  <si>
    <t>AIMTeams_MusicTaskForce</t>
  </si>
  <si>
    <t>MRCH_OrderCrewneck</t>
  </si>
  <si>
    <t>MRCH_OrderHoodie</t>
  </si>
  <si>
    <t>MRCH_BoughtHoodie</t>
  </si>
  <si>
    <t xml:space="preserve">MRCH_BoughtCrewneck </t>
  </si>
  <si>
    <t>AIMClubs_MusicTaskForce_RoomRental</t>
  </si>
  <si>
    <t>AIMClubs_MusicTaskForce_Snacks</t>
  </si>
  <si>
    <t>BG_LustrumSavingsExpense</t>
  </si>
  <si>
    <t>BG_LustrumSavingsIncome</t>
  </si>
  <si>
    <t>BG_SavingsExpense</t>
  </si>
  <si>
    <t>BG_SavingsIncome</t>
  </si>
  <si>
    <t>Interest_ING</t>
  </si>
  <si>
    <t>Lustrum_Expense</t>
  </si>
  <si>
    <t>Kostensoort</t>
  </si>
  <si>
    <t>Amount (EUR)</t>
  </si>
  <si>
    <t>Date</t>
  </si>
  <si>
    <t>Name / Description</t>
  </si>
  <si>
    <t>Notifications</t>
  </si>
  <si>
    <t>Reciept/Proof</t>
  </si>
  <si>
    <t>Comments</t>
  </si>
  <si>
    <t>ING Saldo</t>
  </si>
  <si>
    <t>Account</t>
  </si>
  <si>
    <t>Counterparty</t>
  </si>
  <si>
    <t>Code</t>
  </si>
  <si>
    <t>Debit/credit</t>
  </si>
  <si>
    <t>Transaction type</t>
  </si>
  <si>
    <t xml:space="preserve">Moneybird </t>
  </si>
  <si>
    <t>NL51INGB0006734394</t>
  </si>
  <si>
    <t>GT</t>
  </si>
  <si>
    <t>Debit</t>
  </si>
  <si>
    <t>Online Banking</t>
  </si>
  <si>
    <t>Name: Kleio PC Hooft Huis Description: BE - Borrels IBAN: NL36INGB0006131712 Value date: 12/10/2024</t>
  </si>
  <si>
    <t>https://moneybird.com/238154821397382597/documents/434642105883690342</t>
  </si>
  <si>
    <t>IC</t>
  </si>
  <si>
    <t>SEPA direct debit</t>
  </si>
  <si>
    <r>
      <t xml:space="preserve">Name: </t>
    </r>
    <r>
      <rPr>
        <u/>
        <sz val="10"/>
        <color rgb="FF000000"/>
        <rFont val="Helvetica Neue"/>
        <family val="2"/>
      </rPr>
      <t>Wix.com</t>
    </r>
    <r>
      <rPr>
        <sz val="10"/>
        <color rgb="FF000000"/>
        <rFont val="Helvetica Neue"/>
        <family val="2"/>
      </rPr>
      <t xml:space="preserve"> Description: </t>
    </r>
    <r>
      <rPr>
        <u/>
        <sz val="10"/>
        <color rgb="FF000000"/>
        <rFont val="Helvetica Neue"/>
        <family val="2"/>
      </rPr>
      <t>Wix.com</t>
    </r>
    <r>
      <rPr>
        <sz val="10"/>
        <color rgb="FF000000"/>
        <rFont val="Helvetica Neue"/>
        <family val="2"/>
      </rPr>
      <t xml:space="preserve"> </t>
    </r>
    <r>
      <rPr>
        <u/>
        <sz val="10"/>
        <color rgb="FF000000"/>
        <rFont val="Helvetica Neue"/>
        <family val="2"/>
      </rPr>
      <t>Wix.com</t>
    </r>
    <r>
      <rPr>
        <sz val="10"/>
        <color rgb="FF000000"/>
        <rFont val="Helvetica Neue"/>
        <family val="2"/>
      </rPr>
      <t xml:space="preserve"> Business Basic  Monthly 1141467669 IBAN: NL65ADYB2006011162 Reference: M7WTX3LQHH5WLND3 Mandate ID: M7WTX3LQHH5WLND3 Creditor ID: NL48ZZZ342764500000 One-off SEPA direct debit Value date: 15/10/2024</t>
    </r>
  </si>
  <si>
    <t>Name: ADYEN NV Description: Moneybird B.V. 2024 625652 MoneyBird B.V. IBAN: NL37ABNA0423430890 Reference: CV6CM5DCJPHQJXMF3C Mandate ID: J7MMC9G5HGCPPFF3 Creditor ID: NL48ZZZ342764500000 First SEPA direct debit Other party: Moneybird B.V. Value date: 15/10/2024</t>
  </si>
  <si>
    <t>OV</t>
  </si>
  <si>
    <t>Credit</t>
  </si>
  <si>
    <t>Transfer</t>
  </si>
  <si>
    <t>Name: Adyen N.V. Description: TX44857286300XT Wix Payments IBAN: NL92ADYB2017400998 Reference: TX44857286300XT Value date: 21/10/2024</t>
  </si>
  <si>
    <t>Name: Adyen N.V. Description: TX44892151600XT Wix Payments IBAN: NL92ADYB2017400998 Reference: TX44892151600XT Value date: 21/10/2024</t>
  </si>
  <si>
    <t>Name: TentamenTrainingen B.V. Description: 517144/20003514 02102024 02102024 Commissie 2023/2024 1018 TV AMSTERDAM IBAN: NL40RABO0308449150 Reference: 517144P20003514.214.3399773 Value date: 21/10/2024</t>
  </si>
  <si>
    <t>Name: Adyen N.V. Description: TX44932292600XT Wix Payments IBAN: NL92ADYB2017400998 Reference: TX44932292600XT Value date: 22/10/2024</t>
  </si>
  <si>
    <t>Name: Adyen N.V. Description: TX44972082600XT Wix Payments IBAN: NL92ADYB2017400998 Reference: TX44972082600XT Value date: 23/10/2024</t>
  </si>
  <si>
    <t>Name: Adyen N.V. Description: TX45009558100XT Wix Payments IBAN: NL92ADYB2017400998 Reference: TX45009558100XT Value date: 24/10/2024</t>
  </si>
  <si>
    <t>Name: Adyen N.V. Description: TX45047778300XT Wix Payments IBAN: NL92ADYB2017400998 Reference: TX45047778300XT Value date: 25/10/2024</t>
  </si>
  <si>
    <t>DV</t>
  </si>
  <si>
    <t>Various</t>
  </si>
  <si>
    <t>Factuurnr. 2240254251 Betreft IBAN: NL51INGB0006734394 Periode: 01-09-2024 / 30-09-2024 Value date: 26/10/2024</t>
  </si>
  <si>
    <t>Name: Adyen N.V. Description: TX45100886200XT Wix Payments IBAN: NL92ADYB2017400998 Reference: TX45100886200XT Value date: 28/10/2024</t>
  </si>
  <si>
    <t>Name: Adyen N.V. Description: TX45068561900XT Wix Payments IBAN: NL92ADYB2017400998 Reference: TX45068561900XT Value date: 28/10/2024</t>
  </si>
  <si>
    <t>Name: B V Crea Cafe Description: BG - Comittee Beerpong IBAN: NL30INGB0002562608 Value date: 29/10/2024</t>
  </si>
  <si>
    <t>https://moneybird.com/238154821397382597/documents/435303017951004305</t>
  </si>
  <si>
    <t>Name: Hanna Schmidt Description: AC - Study Session - Snacks IBAN: NL05REVO8886959400 Value date: 29/10/2024</t>
  </si>
  <si>
    <t>https://moneybird.com/238154821397382597/documents/435107106213856410</t>
  </si>
  <si>
    <t>Name: Carla Gesell Description: BE - Committee Workshop - Snacks IBAN: DE68370501981934822980 Value date: 29/10/2024</t>
  </si>
  <si>
    <t>https://moneybird.com/238154821397382597/documents/434657966580303409</t>
  </si>
  <si>
    <t>Name: De Kabel B V Description: BG - Borrels IBAN: NL04RABO0157480356 Value date: 29/10/2024</t>
  </si>
  <si>
    <t>https://moneybird.com/238154821397382597/documents/434818931353454005</t>
  </si>
  <si>
    <t>Name: USC Description: BG - Sportsclubs - Volleyball IBAN: NL43DEUT0448860325 Value date: 29/10/2024</t>
  </si>
  <si>
    <t>https://moneybird.com/238154821397382597/documents/434292420556883054</t>
  </si>
  <si>
    <t>Name: TRADETRACKER NED BV Description: Fact.nr.: NL2024N0015789 IBAN: NL86ABNA0627700659 Reference: NL2024N0015789 Value date: 29/10/2024</t>
  </si>
  <si>
    <t>Name: Adyen N.V. Description: TX45140946600XT Wix Payments IBAN: NL92ADYB2017400998 Reference: TX45140946600XT Value date: 29/10/2024</t>
  </si>
  <si>
    <t>Name: Adyen N.V. Description: TX45185969600XT Wix Payments IBAN: NL92ADYB2017400998 Reference: TX45185969600XT Value date: 30/10/2024</t>
  </si>
  <si>
    <t>Name: Adyen N.V. Description: TX45224726400XT Wix Payments IBAN: NL92ADYB2017400998 Reference: TX45224726400XT Value date: 31/10/2024</t>
  </si>
  <si>
    <t>Name: Adyen N.V. Description: TX45283492400XT Wix Payments IBAN: NL92ADYB2017400998 Reference: TX45283492400XT Value date: 04/11/2024</t>
  </si>
  <si>
    <t>Name: Felix Ploss Description: BG - Aimroom supplies - Football IBAN: NL13INGB0102375720 Value date: 08/11/2024</t>
  </si>
  <si>
    <t>https://moneybird.com/238154821397382597/documents/436918198549349432</t>
  </si>
  <si>
    <t>Name: De Heeren van Aemstel Description: PT - Transition - Open Bar IBAN: NL80ABNA0601179803 Value date: 08/11/2024</t>
  </si>
  <si>
    <t>https://moneybird.com/238154821397382597/documents/437004518837716832</t>
  </si>
  <si>
    <t>Name: Hannah Sihler Description: PT - Halloween - Decoration IBAN: AT342070604500702099 Value date: 08/11/2024</t>
  </si>
  <si>
    <t>https://moneybird.com/238154821397382597/documents/436498117937858051</t>
  </si>
  <si>
    <t>Name: Carla Gesell Description: BG - First Aid IBAN: DE68370501981934822980 Value date: 08/11/2024</t>
  </si>
  <si>
    <t>https://moneybird.com/238154821397382597/documents/435008926186997354</t>
  </si>
  <si>
    <t>Name: Transip B.V. Description: FACTUUR F0000.2411.0004.4145 IBAN: NL85INGB0654416265 Reference: E2E-ID-NL-225328359 Mandate ID: MANDATE-NL-200315305-1 Creditor ID: NL39ZZZ243458990000 Recurrent SEPA direct debit Value date: 08/11/2024</t>
  </si>
  <si>
    <t>Domain (automatic)</t>
  </si>
  <si>
    <t>Name: Adyen N.V. Description: TX45515847600XT Wix Payments IBAN: NL92ADYB2017400998 Reference: TX45515847600XT Value date: 11/11/2024</t>
  </si>
  <si>
    <t>Name: Adyen N.V. Description: TX45489444600XT Wix Payments IBAN: NL92ADYB2017400998 Reference: TX45489444600XT Value date: 11/11/2024</t>
  </si>
  <si>
    <t>Name: Adyen N.V. Description: TX45549469400XT Wix Payments IBAN: NL92ADYB2017400998 Reference: TX45549469400XT Value date: 12/11/2024</t>
  </si>
  <si>
    <t>Name: Adyen N.V. Description: TX45589499900XT Wix Payments IBAN: NL92ADYB2017400998 Reference: TX45589499900XT Value date: 13/11/2024</t>
  </si>
  <si>
    <t>Name: Adyen N.V. Description: TX45632535600XT Wix Payments IBAN: NL92ADYB2017400998 Reference: TX45632535600XT Value date: 14/11/2024</t>
  </si>
  <si>
    <t>Name: Moneybird B.V. Description: Moneybird B.V. 2024-697953 MoneyBird B.V. 2024-697953 MoneyBird B.V. IBAN: NL65ADYB2006011162 Reference: MSJNCCTZM6BWKSF6 Mandate ID: DVDXTF779XZHKPF6 Creditor ID: NL48ZZZ342764500000 Recurrent SEPA direct debit Value date: 14/11/2024</t>
  </si>
  <si>
    <t>Name: Adyen N.V. Description: TX45673316700XT Wix Payments IBAN: NL92ADYB2017400998 Reference: TX45673316700XT Value date: 15/11/2024</t>
  </si>
  <si>
    <r>
      <t xml:space="preserve">Name: </t>
    </r>
    <r>
      <rPr>
        <u/>
        <sz val="10"/>
        <color rgb="FF000000"/>
        <rFont val="Helvetica Neue"/>
        <family val="2"/>
      </rPr>
      <t>Wix.com</t>
    </r>
    <r>
      <rPr>
        <sz val="10"/>
        <color rgb="FF000000"/>
        <rFont val="Helvetica Neue"/>
        <family val="2"/>
      </rPr>
      <t xml:space="preserve"> Description: </t>
    </r>
    <r>
      <rPr>
        <u/>
        <sz val="10"/>
        <color rgb="FF000000"/>
        <rFont val="Helvetica Neue"/>
        <family val="2"/>
      </rPr>
      <t>Wix.com</t>
    </r>
    <r>
      <rPr>
        <sz val="10"/>
        <color rgb="FF000000"/>
        <rFont val="Helvetica Neue"/>
        <family val="2"/>
      </rPr>
      <t xml:space="preserve"> </t>
    </r>
    <r>
      <rPr>
        <u/>
        <sz val="10"/>
        <color rgb="FF000000"/>
        <rFont val="Helvetica Neue"/>
        <family val="2"/>
      </rPr>
      <t>Wix.com</t>
    </r>
    <r>
      <rPr>
        <sz val="10"/>
        <color rgb="FF000000"/>
        <rFont val="Helvetica Neue"/>
        <family val="2"/>
      </rPr>
      <t xml:space="preserve"> Business Basic  Monthly IBAN: NL65ADYB2006011162 Reference: HPDXT3R74Z356FG6 Mandate ID: HPDXT3R74Z356FG6 Creditor ID: NL48ZZZ342764500000 One-off SEPA direct debit Value date: 15/11/2024</t>
    </r>
  </si>
  <si>
    <t>Name: Cant Dutch This Description: Sept-dec IBAN: NL12KNAB0609726072 Date/time: 16-11-2024 14:26:33 Value date: 16/11/2024</t>
  </si>
  <si>
    <t>Name: Adyen N.V. Description: TX45726015700XT Wix Payments IBAN: NL92ADYB2017400998 Reference: TX45726015700XT Value date: 18/11/2024</t>
  </si>
  <si>
    <t>Name: Adyen N.V. Description: TX45696648000XT Wix Payments IBAN: NL92ADYB2017400998 Reference: TX45696648000XT Value date: 18/11/2024</t>
  </si>
  <si>
    <t>Name: UNIVERSITEIT VAN AMSTERDAM Description: /INV/20241022-003 IBAN: NL48DEUT0444042342 Reference: 2001592836 Value date: 19/11/2024</t>
  </si>
  <si>
    <t>Name: Adyen N.V. Description: TX45765885600XT Wix Payments IBAN: NL92ADYB2017400998 Reference: TX45765885600XT Value date: 19/11/2024</t>
  </si>
  <si>
    <t>Zakelijke Oranje Spaarrekening</t>
  </si>
  <si>
    <t>To Zakelijke oranje spaarrekening M85945251 Value date: 20/11/2024</t>
  </si>
  <si>
    <t>To Zakelijke oranje spaarrekening L10080095 Value date: 20/11/2024</t>
  </si>
  <si>
    <t>Name: Adyen N.V. Description: TX45805901800XT Wix Payments IBAN: NL92ADYB2017400998 Reference: TX45805901800XT Value date: 20/11/2024</t>
  </si>
  <si>
    <t>Name: Adyen N.V. Description: TX45843121300XT Wix Payments IBAN: NL92ADYB2017400998 Reference: TX45843121300XT Value date: 21/11/2024</t>
  </si>
  <si>
    <t>Name: Adyen N.V. Description: TX45883017100XT Wix Payments IBAN: NL92ADYB2017400998 Reference: TX45883017100XT Value date: 22/11/2024</t>
  </si>
  <si>
    <t>Name: Bastiaan Landman Description: BE - CoBo - Open Bar IBAN: NL77INGB0100583172 Value date: 25/11/2024</t>
  </si>
  <si>
    <t>https://moneybird.com/238154821397382597/documents/438145534159488059</t>
  </si>
  <si>
    <t>Name: Hannah Sihler Description: BE - CoBo - Guest book IBAN: AT342070604500702099 Value date: 25/11/2024</t>
  </si>
  <si>
    <t>https://moneybird.com/238154821397382597/documents/438186724623910386</t>
  </si>
  <si>
    <t>Name: Roos Majoor Description: ART - Gingerbread - Gingerbread IBAN: NL47ASNB0950447153 Value date: 25/11/2024</t>
  </si>
  <si>
    <t>https://moneybird.com/238154821397382597/documents/438185696258163847</t>
  </si>
  <si>
    <t>Name: Felix Ploss Description: BE - GA - pizza IBAN: NL13INGB0102375720 Value date: 25/11/2024</t>
  </si>
  <si>
    <t>https://moneybird.com/238154821397382597/documents/437264992784353234</t>
  </si>
  <si>
    <t>Name: Bastiaan Landman Description: BG - First Aid IBAN: NL77INGB0100583172 Value date: 25/11/2024</t>
  </si>
  <si>
    <t>https://moneybird.com/238154821397382597/documents/437453737897755976</t>
  </si>
  <si>
    <t>Name: Ella Rissanen Description: BG - First Aid IBAN: DE18300700240082169400 Value date: 25/11/2024</t>
  </si>
  <si>
    <t>https://moneybird.com/238154821397382597/documents/435998403483141842</t>
  </si>
  <si>
    <t>Name: Adyen N.V. Description: TX45940599800XT Wix Payments IBAN: NL92ADYB2017400998 Reference: TX45940599800XT Value date: 25/11/2024</t>
  </si>
  <si>
    <t>Name: Adyen N.V. Description: TX45908848500XT Wix Payments IBAN: NL92ADYB2017400998 Reference: TX45908848500XT Value date: 25/11/2024</t>
  </si>
  <si>
    <t>Name: Adyen N.V. Description: TX45980884800XT Wix Payments IBAN: NL92ADYB2017400998 Reference: TX45980884800XT Value date: 26/11/2024</t>
  </si>
  <si>
    <t>Factuurnr. 2248332543 Betreft IBAN: NL51INGB0006734394 Periode: 01-10-2024 / 31-10-2024 Value date: 26/11/2024</t>
  </si>
  <si>
    <t>Name: Adyen N.V. Description: TX46021422300XT Wix Payments IBAN: NL92ADYB2017400998 Reference: TX46021422300XT Value date: 27/11/2024</t>
  </si>
  <si>
    <t>Name: Adyen N.V. Description: TX46058201300XT Wix Payments IBAN: NL92ADYB2017400998 Reference: TX46058201300XT Value date: 28/11/2024</t>
  </si>
  <si>
    <t>Name: Adyen N.V. Description: TX46092425300XT Wix Payments IBAN: NL92ADYB2017400998 Reference: TX46092425300XT Value date: 29/11/2024</t>
  </si>
  <si>
    <t>Name: Adyen N.V. Description: TX46142273200XT Wix Payments IBAN: NL92ADYB2017400998 Reference: TX46142273200XT Value date: 02/12/2024</t>
  </si>
  <si>
    <t>Name: Adyen N.V. Description: TX46112182000XT Wix Payments IBAN: NL92ADYB2017400998 Reference: TX46112182000XT Value date: 02/12/2024</t>
  </si>
  <si>
    <t>Name: Adyen N.V. Description: TX46181267300XT Wix Payments IBAN: NL92ADYB2017400998 Reference: TX46181267300XT Value date: 03/12/2024</t>
  </si>
  <si>
    <t>Name: Studiever. Eur. Studies Description: SES - Winter Party costs IBAN: NL11TRIO0379717107 Reference: 20241203115250TRIONL2UXXXE000107003 Date/time: 03-12-2024 11:52:50 Value date: 03/12/2024</t>
  </si>
  <si>
    <t>Name: KALLIOPPE Description: Kallioppe's share of christmas party expenses IBAN: NL51ABNA0211182222 Date/time: 03-12-2024 09:50:07 Value date: 03/12/2024</t>
  </si>
  <si>
    <t>Name: Thierry De eb Description: AIMClubs - Volleyball - Court Rental IBAN: NL22ABNA0114237743 Value date: 04/12/2024</t>
  </si>
  <si>
    <t>https://moneybird.com/238154821397382597/documents/436911762491573854</t>
  </si>
  <si>
    <t>Name: Soho Amsterdam B V Description: PT - Christmas Party - Open bar IBAN: NL87ABNA0533675243 Value date: 04/12/2024</t>
  </si>
  <si>
    <t>https://moneybird.com/238154821397382597/documents/439459159586375068</t>
  </si>
  <si>
    <t>Name: Soho Amsterdam B V Description: PT - Christmas Party - Rent IBAN: NL87ABNA0533675243 Value date: 04/12/2024</t>
  </si>
  <si>
    <t>https://moneybird.com/238154821397382597/documents/439458813626549514</t>
  </si>
  <si>
    <t>Name: Adyen N.V. Description: TX46226749700XT Wix Payments IBAN: NL92ADYB2017400998 Reference: TX46226749700XT Value date: 04/12/2024</t>
  </si>
  <si>
    <t>Name: Emily Rose Reid Description: BG - First Aid IBAN: NL46REVO9048195748 Value date: 04/12/2024</t>
  </si>
  <si>
    <t>https://moneybird.com/238154821397382597/documents/434772639803770818</t>
  </si>
  <si>
    <t>Name: Ivan Skrabalo CR Description: SP - Ice Skating - tickets IBAN: HR1623600003249614348 Value date: 04/12/2024</t>
  </si>
  <si>
    <t>https://moneybird.com/238154821397382597/documents/439097833600059130</t>
  </si>
  <si>
    <t>Name: Ivan Skrabalo Description: SP - HIIT Class - Rent IBAN: BE05363193285775 Value date: 04/12/2024</t>
  </si>
  <si>
    <t>https://moneybird.com/238154821397382597/documents/439097091390703189</t>
  </si>
  <si>
    <t>Name: Carla Gesell Description: BE - Board Weekend - Groceries IBAN: DE68370501981934822980 Value date: 04/12/2024</t>
  </si>
  <si>
    <t>https://moneybird.com/238154821397382597/documents/438995434939090286</t>
  </si>
  <si>
    <t>Jakob Jung</t>
  </si>
  <si>
    <t>Name: Jakob Jung Description: BD - Reveal Borrel - Refund IBAN: DE05680900000033692307 Value date: 04/12/2024</t>
  </si>
  <si>
    <t>https://moneybird.com/238154821397382597/documents/439271223212377247</t>
  </si>
  <si>
    <t>refund for buddy reveal borrel</t>
  </si>
  <si>
    <t>Name: Zoe Tsai Description: BD - Reveal Borrel - Refund IBAN: NL10ABNA0883363569 Value date: 04/12/2024</t>
  </si>
  <si>
    <t>http://moneybird.com/238154821397382597/documents/439271075248867051</t>
  </si>
  <si>
    <t>Name: Charlotte van der Neut Description: BD - Reveal Borrel - Tokens IBAN: NL84ASNB8833013456 Value date: 04/12/2024</t>
  </si>
  <si>
    <t>https://moneybird.com/238154821397382597/documents/439018296525719403</t>
  </si>
  <si>
    <t>Name: Leandro Meier Description: ART - Movie Night - Snacks IBAN: NL73ABNA0137029012 Value date: 04/12/2024</t>
  </si>
  <si>
    <t>https://moneybird.com/238154821397382597/documents/438828502788080665</t>
  </si>
  <si>
    <t>Name: Naj Pivec Description: BE - Board Weekend - Transport IBAN: NL85ABNA0894334859 Value date: 04/12/2024</t>
  </si>
  <si>
    <t>https://moneybird.com/238154821397382597/documents/438995666945967369</t>
  </si>
  <si>
    <t>https://moneybird.com/238154821397382597/documents/438989574438389544</t>
  </si>
  <si>
    <t>https://moneybird.com/238154821397382597/documents/438989384164836988</t>
  </si>
  <si>
    <t>Name: Vaisakh Karuvath Description: BE - Board Weekend -Dinner IBAN: NL90ABNA0124687881 Value date: 04/12/2024</t>
  </si>
  <si>
    <t>https://moneybird.com/238154821397382597/documents/439180058645497223</t>
  </si>
  <si>
    <t>Name: Carla Gesell Description: BE - Board Weekend - Transport IBAN: DE68370501981934822980 Value date: 04/12/2024</t>
  </si>
  <si>
    <t>https://moneybird.com/238154821397382597/documents/438991612840772909</t>
  </si>
  <si>
    <t>Name: Hannah Sihler Description: BE - Board Weekend - Transport IBAN: AT342070604500702099 Value date: 04/12/2024</t>
  </si>
  <si>
    <t>https://moneybird.com/238154821397382597/documents/438932004928488471</t>
  </si>
  <si>
    <t>Name: Matisse Perrin Description: AW - Charity Work - Snacks IBAN: FR7630003032910005061913044 Value date: 04/12/2024</t>
  </si>
  <si>
    <t>https://moneybird.com/238154821397382597/documents/438989749204551282</t>
  </si>
  <si>
    <t>https://moneybird.com/238154821397382597/documents/438990442442261848</t>
  </si>
  <si>
    <t>Name: Adyen N.V. Description: TX46270987200XT Wix Payments IBAN: NL92ADYB2017400998 Reference: TX46270987200XT Value date: 05/12/2024</t>
  </si>
  <si>
    <t>Name: Adyen N.V. Description: TX46310320100XT Wix Payments IBAN: NL92ADYB2017400998 Reference: TX46310320100XT Value date: 06/12/2024</t>
  </si>
  <si>
    <t>Name: Adyen N.V. Description: TX46334507100XT Wix Payments IBAN: NL92ADYB2017400998 Reference: TX46334507100XT Value date: 09/12/2024</t>
  </si>
  <si>
    <t>Name: Adyen N.V. Description: TX46363466900XT Wix Payments IBAN: NL92ADYB2017400998 Reference: TX46363466900XT Value date: 09/12/2024</t>
  </si>
  <si>
    <t>Name: De Hoof Groepsaccommodaties B V Description: TYW -Accommodation - First Payment IBAN: NL57RABO0148096204 Value date: 09/12/2024</t>
  </si>
  <si>
    <t>https://moneybird.com/238154821397382597/documents/439898127647901188</t>
  </si>
  <si>
    <t>Name: KallioPPE Description: BE - Borrel - Tokens IBAN: NL51ABNA0211182222 Value date: 09/12/2024</t>
  </si>
  <si>
    <t>https://moneybird.com/238154821397382597/documents/439844923160659526</t>
  </si>
  <si>
    <t>Name: Vladimir Popov Description: BG - Canva IBAN: NL75INGB0655832645 Value date: 09/12/2024</t>
  </si>
  <si>
    <t>https://moneybird.com/238154821397382597/documents/439897367937811920</t>
  </si>
  <si>
    <t>Name: S R C Adriaansz Description: PT - Christmas - DJ IBAN: NL06ABNA0889984085 Value date: 09/12/2024</t>
  </si>
  <si>
    <t>https://moneybird.com/238154821397382597/documents/439826760138229335</t>
  </si>
  <si>
    <t>PT_Christmas_Decorations</t>
  </si>
  <si>
    <t>Name: Lieve van der Stel Description: PT - Christmas Party - Decoration IBAN: NL21INGB0683908618 Value date: 09/12/2024</t>
  </si>
  <si>
    <t>https://moneybird.com/238154821397382597/documents/439538025938027874</t>
  </si>
  <si>
    <t>https://moneybird.com/238154821397382597/documents/439537976754571038</t>
  </si>
  <si>
    <t>Name: Lieve van der Stel Description: PT - Christmas Party - DJ IBAN: NL21INGB0683908618 Value date: 09/12/2024</t>
  </si>
  <si>
    <t>https://moneybird.com/238154821397382597/documents/439537932977571546</t>
  </si>
  <si>
    <t>Name: Transip B.V. Description: FACTUUR F0000.2412.0004.4078 IBAN: NL85INGB0654416265 Reference: E2E-ID-NL-225659291 Mandate ID: MANDATE-NL-200315305-1 Creditor ID: NL39ZZZ243458990000 Recurrent SEPA direct debit Value date: 09/12/2024</t>
  </si>
  <si>
    <t>Name: Adyen N.V. Description: TX46402683700XT Wix Payments IBAN: NL92ADYB2017400998 Reference: TX46402683700XT Value date: 10/12/2024</t>
  </si>
  <si>
    <t>Name: Adyen N.V. Description: TX46442837800XT Wix Payments IBAN: NL92ADYB2017400998 Reference: TX46442837800XT Value date: 11/12/2024</t>
  </si>
  <si>
    <t>Name: Moneybird B.V. Description: Moneybird B.V. 2024-769533 MoneyBird B.V. IBAN: NL65ADYB2006011162 Reference: G4DTMWN32G63K8F3 Mandate ID: F2Z2DK8BKCCNLNF3 Creditor ID: NL48ZZZ342764500000 Recurrent SEPA direct debit Value date: 16/12/2024</t>
  </si>
  <si>
    <r>
      <t xml:space="preserve">Name: </t>
    </r>
    <r>
      <rPr>
        <u/>
        <sz val="10"/>
        <color rgb="FF000000"/>
        <rFont val="Helvetica Neue"/>
        <family val="2"/>
      </rPr>
      <t>Wix.com</t>
    </r>
    <r>
      <rPr>
        <sz val="10"/>
        <color rgb="FF000000"/>
        <rFont val="Helvetica Neue"/>
        <family val="2"/>
      </rPr>
      <t xml:space="preserve"> Description: </t>
    </r>
    <r>
      <rPr>
        <u/>
        <sz val="10"/>
        <color rgb="FF000000"/>
        <rFont val="Helvetica Neue"/>
        <family val="2"/>
      </rPr>
      <t>Wix.com</t>
    </r>
    <r>
      <rPr>
        <sz val="10"/>
        <color rgb="FF000000"/>
        <rFont val="Helvetica Neue"/>
        <family val="2"/>
      </rPr>
      <t xml:space="preserve"> </t>
    </r>
    <r>
      <rPr>
        <u/>
        <sz val="10"/>
        <color rgb="FF000000"/>
        <rFont val="Helvetica Neue"/>
        <family val="2"/>
      </rPr>
      <t>Wix.com</t>
    </r>
    <r>
      <rPr>
        <sz val="10"/>
        <color rgb="FF000000"/>
        <rFont val="Helvetica Neue"/>
        <family val="2"/>
      </rPr>
      <t xml:space="preserve"> Business Basic  Monthly IBAN: NL65ADYB2006011162 Reference: P7ZC2JJXJM5JM8G6 Mandate ID: P7ZC2JJXJM5JM8G6 Creditor ID: NL48ZZZ342764500000 One-off SEPA direct debit Value date: 17/12/2024</t>
    </r>
  </si>
  <si>
    <t>Factuurnr. 2256688844 Betreft IBAN: NL51INGB0006734394 Periode: 01-11-2024 / 30-11-2024 Value date: 26/12/2024</t>
  </si>
  <si>
    <t>Name: Adyen N.V. Description: TX47158487800XT Wix Payments IBAN: NL92ADYB2017400998 Reference: TX47158487800XT Value date: 06/01/2025</t>
  </si>
  <si>
    <t>Name: Adyen N.V. Description: TX47194589100XT Wix Payments IBAN: NL92ADYB2017400998 Reference: TX47194589100XT Value date: 07/01/2025</t>
  </si>
  <si>
    <t>Name: Adyen N.V. Description: TX47229725900XT Wix Payments IBAN: NL92ADYB2017400998 Reference: TX47229725900XT Value date: 08/01/2025</t>
  </si>
  <si>
    <t>Name: Transip B.V. Description: FACTUUR F0000.2501.0004.2258 IBAN: NL85INGB0654416265 Reference: E2E-ID-NL-225984685 Mandate ID: MANDATE-NL-200315305-1 Creditor ID: NL39ZZZ243458990000 Recurrent SEPA direct debit Value date: 08/01/2025</t>
  </si>
  <si>
    <t>Name: Adyen N.V. Description: TX47264508400XT Wix Payments IBAN: NL92ADYB2017400998 Reference: TX47264508400XT Value date: 09/01/2025</t>
  </si>
  <si>
    <t>Name: Adyen N.V. Description: TX47300330500XT Wix Payments IBAN: NL92ADYB2017400998 Reference: TX47300330500XT Value date: 10/01/2025</t>
  </si>
  <si>
    <t>Name: Adyen N.V. Description: TX47321924800XT Wix Payments IBAN: NL92ADYB2017400998 Reference: TX47321924800XT Value date: 13/01/2025</t>
  </si>
  <si>
    <t>Name: Adyen N.V. Description: TX47345628900XT Wix Payments IBAN: NL92ADYB2017400998 Reference: TX47345628900XT Value date: 13/01/2025</t>
  </si>
  <si>
    <t>Name: Adyen N.V. Description: TX47383082400XT Wix Payments IBAN: NL92ADYB2017400998 Reference: TX47383082400XT Value date: 14/01/2025</t>
  </si>
  <si>
    <t>Name: Moneybird B.V. Description: Moneybird B.V. 2025-22251 MoneyBird B.V. IBAN: NL65ADYB2006011162 Reference: B74RLCRNCLPXZFX3 Mandate ID: GJWLSFMKLLXQV6Z3 Creditor ID: NL48ZZZ342764500000 Recurrent SEPA direct debit Value date: 14/01/2025</t>
  </si>
  <si>
    <t>Name: Adyen N.V. Description: TX47420338100XT Wix Payments IBAN: NL92ADYB2017400998 Reference: TX47420338100XT Value date: 15/01/2025</t>
  </si>
  <si>
    <r>
      <t xml:space="preserve">Name: </t>
    </r>
    <r>
      <rPr>
        <u/>
        <sz val="10"/>
        <color rgb="FF000000"/>
        <rFont val="Helvetica Neue"/>
        <family val="2"/>
      </rPr>
      <t>Wix.com</t>
    </r>
    <r>
      <rPr>
        <sz val="10"/>
        <color rgb="FF000000"/>
        <rFont val="Helvetica Neue"/>
        <family val="2"/>
      </rPr>
      <t xml:space="preserve"> Description: </t>
    </r>
    <r>
      <rPr>
        <u/>
        <sz val="10"/>
        <color rgb="FF000000"/>
        <rFont val="Helvetica Neue"/>
        <family val="2"/>
      </rPr>
      <t>Wix.com</t>
    </r>
    <r>
      <rPr>
        <sz val="10"/>
        <color rgb="FF000000"/>
        <rFont val="Helvetica Neue"/>
        <family val="2"/>
      </rPr>
      <t xml:space="preserve"> </t>
    </r>
    <r>
      <rPr>
        <u/>
        <sz val="10"/>
        <color rgb="FF000000"/>
        <rFont val="Helvetica Neue"/>
        <family val="2"/>
      </rPr>
      <t>Wix.com</t>
    </r>
    <r>
      <rPr>
        <sz val="10"/>
        <color rgb="FF000000"/>
        <rFont val="Helvetica Neue"/>
        <family val="2"/>
      </rPr>
      <t xml:space="preserve"> Business Basic  Monthly IBAN: NL65ADYB2006011162 Reference: C5T9MXTBDGNMG7G3 Mandate ID: C5T9MXTBDGNMG7G3 Creditor ID: NL48ZZZ342764500000 One-off SEPA direct debit Value date: 15/01/2025</t>
    </r>
  </si>
  <si>
    <t>Name: Adyen N.V. Description: TX47455118700XT Wix Payments IBAN: NL92ADYB2017400998 Reference: TX47455118700XT Value date: 16/01/2025</t>
  </si>
  <si>
    <t>Name: Adyen N.V. Description: TX47492001900XT Wix Payments IBAN: NL92ADYB2017400998 Reference: TX47492001900XT Value date: 17/01/2025</t>
  </si>
  <si>
    <t>Name: Adyen N.V. Description: TX47536418100XT Wix Payments IBAN: NL92ADYB2017400998 Reference: TX47536418100XT Value date: 20/01/2025</t>
  </si>
  <si>
    <t>Name: Adyen N.V. Description: TX47569390900XT Wix Payments IBAN: NL92ADYB2017400998 Reference: TX47569390900XT Value date: 21/01/2025</t>
  </si>
  <si>
    <t>Name: Adyen N.V. Description: TX47605921300XT Wix Payments IBAN: NL92ADYB2017400998 Reference: TX47605921300XT Value date: 22/01/2025</t>
  </si>
  <si>
    <t>Name: Transip B.V. Description: FACTUUR F0000.2501.0013.4551 IBAN: NL85INGB0654416265 Reference: E2E-ID-NL-226220391 Mandate ID: MANDATE-NL-200315305-1 Creditor ID: NL39ZZZ243458990000 Recurrent SEPA direct debit Value date: 22/01/2025</t>
  </si>
  <si>
    <t>Name: Adyen N.V. Description: TX47640468400XT Wix Payments IBAN: NL92ADYB2017400998 Reference: TX47640468400XT Value date: 23/01/2025</t>
  </si>
  <si>
    <t>Name: Adyen N.V. Description: TX47675138000XT Wix Payments IBAN: NL92ADYB2017400998 Reference: TX47675138000XT Value date: 24/01/2025</t>
  </si>
  <si>
    <t>Factuurnr. 2265094173 Betreft IBAN: NL51INGB0006734394 Periode: 01-12-2024 / 31-12-2024 Value date: 26/01/2025</t>
  </si>
  <si>
    <t>Name: Adyen N.V. Description: TX47695421900XT Wix Payments IBAN: NL92ADYB2017400998 Reference: TX47695421900XT Value date: 27/01/2025</t>
  </si>
  <si>
    <t>Name: Adyen N.V. Description: TX47870268100XT Wix Payments IBAN: NL92ADYB2017400998 Reference: TX47870268100XT Value date: 31/01/2025</t>
  </si>
  <si>
    <t>Name: Adyen N.V. Description: TX47892315200XT Wix Payments IBAN: NL92ADYB2017400998 Reference: TX47892315200XT Value date: 03/02/2025</t>
  </si>
  <si>
    <t>Name: Adyen N.V. Description: TX47916621000XT Wix Payments IBAN: NL92ADYB2017400998 Reference: TX47916621000XT Value date: 03/02/2025</t>
  </si>
  <si>
    <t>Name: ASVA Studentenvakbond Description: Incasso partnerverenigingen jan 2025 IBAN: NL70TRIO0379637960 Reference: SEPA-782-12330-798920 Mandate ID: 20230704798920-780 Creditor ID: NL23ZZZ405395960000 Recurrent SEPA direct debit Value date: 03/02/2025</t>
  </si>
  <si>
    <t>Name: Adyen N.V. Description: TX47953163000XT Wix Payments IBAN: NL92ADYB2017400998 Reference: TX47953163000XT Value date: 04/02/2025</t>
  </si>
  <si>
    <t>Name: Adyen N.V. Description: TX47989881700XT Wix Payments IBAN: NL92ADYB2017400998 Reference: TX47989881700XT Value date: 05/02/2025</t>
  </si>
  <si>
    <t>Name: Adyen N.V. Description: TX48024245600XT Wix Payments IBAN: NL92ADYB2017400998 Reference: TX48024245600XT Value date: 06/02/2025</t>
  </si>
  <si>
    <t>Name: Ivan Skrabalo Description: SP - Pool Borrel - Tokens IBAN: BE05363193285775 Value date: 06/02/2025</t>
  </si>
  <si>
    <t>https://moneybird.com/238154821397382597/documents/444082634814916261</t>
  </si>
  <si>
    <t>Name: Mandisa Matthew Description: AC - Drunk Debate - Snacks IBAN: NL73ABNA0136821529 Value date: 06/02/2025</t>
  </si>
  <si>
    <t>https://moneybird.com/238154821397382597/documents/443365361520215370</t>
  </si>
  <si>
    <t>Name: Hard Rock Cafe Amsterdam B V Description: AC - Drunk Debate - Second Payment IBAN: NL33ABNA0501363866 Value date: 06/02/2025</t>
  </si>
  <si>
    <t>https://moneybird.com/238154821397382597/documents/445181240394384921</t>
  </si>
  <si>
    <t>Name: Cafe Leentje B V Description: Party - NY Borrel - Tokens IBAN: NL43ABNA0887320090 Value date: 06/02/2025</t>
  </si>
  <si>
    <t>https://moneybird.com/238154821397382597/documents/443190594928379882</t>
  </si>
  <si>
    <t>Name: Hard Rock Cafe Amsterdam B V Description: Academic - Drunk Debate - Tokens IBAN: NL33ABNA0501363866 Value date: 06/02/2025</t>
  </si>
  <si>
    <t>https://moneybird.com/238154821397382597/documents/443190471636812837</t>
  </si>
  <si>
    <t>Name: Studievereniging Faculteit Economie en Bedrijfskunde Description: AMSUnlocked - Investment IBAN: NL42ABNA0613392787 Value date: 06/02/2025</t>
  </si>
  <si>
    <t>https://moneybird.com/238154821397382597/documents/445181560511006684</t>
  </si>
  <si>
    <t>Name: Louisa Ortmanns Description: Academic - Rhetoric Speech Event - Flowers IBAN: NL11INGB0108163261 Value date: 06/02/2025</t>
  </si>
  <si>
    <t>https://moneybird.com/238154821397382597/documents/440097759655102023</t>
  </si>
  <si>
    <t>Name: Hanna Schmidt Description: AC - Study session - snacks IBAN: NL05REVO8886959400 Value date: 06/02/2025</t>
  </si>
  <si>
    <t>https://moneybird.com/238154821397382597/documents/444334304844055731</t>
  </si>
  <si>
    <t>Name: Charlotte van der Neut Description: Arts - Gingerbread - Prize IBAN: NL84ASNB8833013456 Value date: 06/02/2025</t>
  </si>
  <si>
    <t>https://moneybird.com/238154821397382597/documents/440031203901310596</t>
  </si>
  <si>
    <t>Name: Leandro Meier Description: Arts - Gingerbread - Snacks and Decoration IBAN: NL73ABNA0137029012 Value date: 06/02/2025</t>
  </si>
  <si>
    <t>https://moneybird.com/238154821397382597/documents/440809844560103179</t>
  </si>
  <si>
    <t>Name: Sophie Van Oorsterhout Description: Sports - Ice Skating - Snacks IBAN: NL88RABO0123266459 Value date: 06/02/2025</t>
  </si>
  <si>
    <t>https://moneybird.com/238154821397382597/documents/440124529442817944</t>
  </si>
  <si>
    <t>Name: Bastiaan Landman Description: AIMClubs - Jam session - snacks IBAN: NL77INGB0100583172 Value date: 06/02/2025</t>
  </si>
  <si>
    <t>https://moneybird.com/238154821397382597/documents/443712051059098920</t>
  </si>
  <si>
    <t>Name: Ivan Skrabalo Description: SP - Foosball - Plaque IBAN: BE05363193285775 Value date: 06/02/2025</t>
  </si>
  <si>
    <t>https://moneybird.com/238154821397382597/documents/444338227130664124</t>
  </si>
  <si>
    <t>Name: Ivan Skrabalo Description: SP - Foosball - mugs prize IBAN: BE05363193285775 Value date: 06/02/2025</t>
  </si>
  <si>
    <t>https://moneybird.com/238154821397382597/documents/444339057492756288</t>
  </si>
  <si>
    <t>Name: Adyen N.V. Description: TX48073700600XT Wix Payments IBAN: NL92ADYB2017400998 Reference: TX48073700600XT Value date: 07/02/2025</t>
  </si>
  <si>
    <t>Name: Adyen N.V. Description: TX48094585400XT Wix Payments IBAN: NL92ADYB2017400998 Reference: TX48094585400XT Value date: 10/02/2025</t>
  </si>
  <si>
    <t>Name: Filmtheater Kriterion Description: AC - Rhetorics Event - Rent IBAN: NL43ABNA0548726361 Value date: 10/02/2025</t>
  </si>
  <si>
    <t>https://moneybird.com/238154821397382597/documents/445447187465241648</t>
  </si>
  <si>
    <t>Name: Adyen N.V. Description: TX48154365000XT Wix Payments IBAN: NL92ADYB2017400998 Reference: TX48154365000XT Value date: 11/02/2025</t>
  </si>
  <si>
    <t>Name: Adyen N.V. Description: TX48192747800XT Wix Payments IBAN: NL92ADYB2017400998 Reference: TX48192747800XT Value date: 12/02/2025</t>
  </si>
  <si>
    <t>Name: Adyen N.V. Description: TX48228257900XT Wix Payments IBAN: NL92ADYB2017400998 Reference: TX48228257900XT Value date: 13/02/2025</t>
  </si>
  <si>
    <t>Name: Adyen N.V. Description: TX48263874400XT Wix Payments IBAN: NL92ADYB2017400998 Reference: TX48263874400XT Value date: 14/02/2025</t>
  </si>
  <si>
    <t>Name: Moneybird B.V. Description: Moneybird B.V. 2025-98889 MoneyBird B.V. IBAN: NL65ADYB2006011162 Reference: Z5N3VJHLZLR4Z8F3 Mandate ID: Z5D34NXNSXZ7T9F3 Creditor ID: NL48ZZZ342764500000 Recurrent SEPA direct debit Value date: 14/02/2025</t>
  </si>
  <si>
    <t>Name: Oostenrijk Touringcars B V Description: TYW - Transportation IBAN: NL78ABNA0546711138 Value date: 16/02/2025</t>
  </si>
  <si>
    <t>https://moneybird.com/238154821397382597/documents/446180269768050087</t>
  </si>
  <si>
    <t>Name: Carla Gesell Description: BE - Board Weekend - Groceries IBAN: DE68370501981934822980 Value date: 16/02/2025</t>
  </si>
  <si>
    <t>https://moneybird.com/238154821397382597/documents/446087872331646017</t>
  </si>
  <si>
    <t>Name: Charlotte van der Neut Description: BD - Game night - Supplies IBAN: NL84ASNB8833013456 Value date: 16/02/2025</t>
  </si>
  <si>
    <t>https://moneybird.com/238154821397382597/documents/445617096659830420</t>
  </si>
  <si>
    <t>Name: Hard Rock Cafe Amsterdam B V Description: BD - Game Night - Tokens IBAN: NL33ABNA0501363866 Value date: 16/02/2025</t>
  </si>
  <si>
    <t>https://moneybird.com/238154821397382597/documents/445615571777619729</t>
  </si>
  <si>
    <t>Name: Carla Gesell Description: BE - Board Weekend - Airbnb IBAN: DE68370501981934822980 Value date: 16/02/2025</t>
  </si>
  <si>
    <t>https://moneybird.com/238154821397382597/documents/446088176945071865</t>
  </si>
  <si>
    <t>Name: Carla Gesell Description: BG - Wix IBAN: DE68370501981934822980 Value date: 16/02/2025</t>
  </si>
  <si>
    <t>https://moneybird.com/238154821397382597/documents/446088567585768905</t>
  </si>
  <si>
    <t>Name: Adyen N.V. Description: TX48306850800XT Wix Payments IBAN: NL92ADYB2017400998 Reference: TX48306850800XT Value date: 17/02/2025</t>
  </si>
  <si>
    <t>Name: Adyen N.V. Description: TX48284592000XT Wix Payments IBAN: NL92ADYB2017400998 Reference: TX48284592000XT Value date: 17/02/2025</t>
  </si>
  <si>
    <t>Name: Oostenrijk Touringcars B V Description: TYW - Transportation IBAN: NL78ABNA0546711138 Value date: 17/02/2025</t>
  </si>
  <si>
    <t>https://moneybird.com/238154821397382597/documents/446180408763090857</t>
  </si>
  <si>
    <t>Name: Adyen N.V. Description: TX48339524000XT Wix Payments IBAN: NL92ADYB2017400998 Reference: TX48339524000XT Value date: 18/02/2025</t>
  </si>
  <si>
    <t>Name: Adyen N.V. Description: TX48376272800XT Wix Payments IBAN: NL92ADYB2017400998 Reference: TX48376272800XT Value date: 19/02/2025</t>
  </si>
  <si>
    <t>Name: TRADETRACKER NED BV Description: Fact.nr.: NL2025N0002296 IBAN: NL86ABNA0627700659 Reference: NL2025N0002296 Value date: 21/02/2025</t>
  </si>
  <si>
    <t>Name: Adyen N.V. Description: TX48446083900XT Wix Payments IBAN: NL92ADYB2017400998 Reference: TX48446083900XT Value date: 21/02/2025</t>
  </si>
  <si>
    <t>Name: Cant Dutch This Description: DC feb-apr .25 IBAN: NL12KNAB0609726072 Date/time: 24-02-2025 16:09:25 Value date: 24/02/2025</t>
  </si>
  <si>
    <t>Name: Transip B.V. Description: FACTUUR F0000.2502.0011.9731 IBAN: NL85INGB0654416265 Reference: E2E-ID-NL-226711671 Mandate ID: MANDATE-NL-200315305-1 Creditor ID: NL39ZZZ243458990000 Recurrent SEPA direct debit Value date: 24/02/2025</t>
  </si>
  <si>
    <t>Factuurnr. 2273783948 Betreft IBAN: NL51INGB0006734394 Periode: 01-01-2025 / 31-01-2025 Value date: 26/02/2025</t>
  </si>
  <si>
    <t>Name: Adyen N.V. Description: TX48655972900XT Wix Payments IBAN: NL92ADYB2017400998 Reference: TX48655972900XT Value date: 03/03/2025</t>
  </si>
  <si>
    <t>Name: Adyen N.V. Description: TX48716461800XT Wix Payments IBAN: NL92ADYB2017400998 Reference: TX48716461800XT Value date: 04/03/2025</t>
  </si>
  <si>
    <t>Name: Adyen N.V. Description: TX48753043000XT Wix Payments IBAN: NL92ADYB2017400998 Reference: TX48753043000XT Value date: 05/03/2025</t>
  </si>
  <si>
    <t>Name: Adyen N.V. Description: TX48787374600XT Wix Payments IBAN: NL92ADYB2017400998 Reference: TX48787374600XT Value date: 06/03/2025</t>
  </si>
  <si>
    <t>Name: Adyen N.V. Description: TX48823166800XT Wix Payments IBAN: NL92ADYB2017400998 Reference: TX48823166800XT Value date: 07/03/2025</t>
  </si>
  <si>
    <t>BA</t>
  </si>
  <si>
    <t>Payment terminal</t>
  </si>
  <si>
    <t>Card sequence no.: 010 06/03/2025 20:03 Transaction: C00015 Term: 0D7005 Value date: 07/03/2025</t>
  </si>
  <si>
    <t>https://moneybird.com/238154821397382597/documents/468102202911622613</t>
  </si>
  <si>
    <t>Name: Adyen N.V. Description: TX48843614100XT Wix Payments IBAN: NL92ADYB2017400998 Reference: TX48843614100XT Value date: 10/03/2025</t>
  </si>
  <si>
    <t>Name: Adyen N.V. Description: TX48908225200XT Wix Payments IBAN: NL92ADYB2017400998 Reference: TX48908225200XT Value date: 11/03/2025</t>
  </si>
  <si>
    <t>Name: Adyen N.V. Description: TX48944317000XT Wix Payments IBAN: NL92ADYB2017400998 Reference: TX48944317000XT Value date: 12/03/2025</t>
  </si>
  <si>
    <t>Name: Adyen N.V. Description: TX48979912800XT Wix Payments IBAN: NL92ADYB2017400998 Reference: TX48979912800XT Value date: 13/03/2025</t>
  </si>
  <si>
    <t>Name: Adyen N.V. Description: TX49015642100XT Wix Payments IBAN: NL92ADYB2017400998 Reference: TX49015642100XT Value date: 14/03/2025</t>
  </si>
  <si>
    <t>Name: Moneybird B.V. Description: Moneybird B.V. 2025-176182 MoneyBird B.V. IBAN: NL65ADYB2006011162 Reference: G7TC5Q6RBGSDCCF3 Mandate ID: NGSF759MLDTJFDF3 Creditor ID: NL48ZZZ342764500000 Recurrent SEPA direct debit Value date: 14/03/2025</t>
  </si>
  <si>
    <t>Name: Bastiaan Landman Description: Music Task force - Jam session - Snacks IBAN: NL77INGB0100583172 Value date: 17/03/2025</t>
  </si>
  <si>
    <t>https://moneybird.com/238154821397382597/documents/447621591815161409</t>
  </si>
  <si>
    <t>Name: Felix Ploss Description: BE - GA - Pizza and Drinks IBAN: NL13INGB0102375720 Value date: 17/03/2025</t>
  </si>
  <si>
    <t>https://moneybird.com/238154821397382597/documents/448690712056169910</t>
  </si>
  <si>
    <t>Name: Ivan Skrabalo Description: Spin class - Room rental IBAN: BE05363193285775 Value date: 17/03/2025</t>
  </si>
  <si>
    <t>https://moneybird.com/238154821397382597/documents/446973277804430345</t>
  </si>
  <si>
    <t>Name: Carla Gesell Description: BE - Board Weekend - Transportation IBAN: DE68370501981934822980 Value date: 17/03/2025</t>
  </si>
  <si>
    <t>https://moneybird.com/238154821397382597/documents/446086941033629255</t>
  </si>
  <si>
    <t>Name: Ivan Skrabalo Description: SP - Pool Borrel - Tables IBAN: BE05363193285775 Value date: 17/03/2025</t>
  </si>
  <si>
    <t>https://moneybird.com/238154821397382597/documents/444082909089891778</t>
  </si>
  <si>
    <t>Name: Carla Gesell Description: BE - Potluck - Decoration IBAN: DE68370501981934822980 Value date: 17/03/2025</t>
  </si>
  <si>
    <t>https://moneybird.com/238154821397382597/documents/446089814115091600</t>
  </si>
  <si>
    <t>Name: Carla Gesell Description: BG - Member Appreciation - November IBAN: DE68370501981934822980 Value date: 17/03/2025</t>
  </si>
  <si>
    <t>https://moneybird.com/238154821397382597/documents/446089605497750586</t>
  </si>
  <si>
    <t>Name: Mathilde Soblik Description: AW - Advent Calendar IBAN: FR7630066104410002055040262 Value date: 17/03/2025</t>
  </si>
  <si>
    <t>https://moneybird.com/238154821397382597/documents/446158097089561946</t>
  </si>
  <si>
    <t>Name: Carla Gesell Description: BE - GA - Snacks IBAN: DE68370501981934822980 Value date: 17/03/2025</t>
  </si>
  <si>
    <t>https://moneybird.com/238154821397382597/documents/446089363288228939</t>
  </si>
  <si>
    <t>Name: Ivan Skrabalo Description: SP - Foosball Competition - Snacks IBAN: BE05363193285775 Value date: 17/03/2025</t>
  </si>
  <si>
    <t>https://moneybird.com/238154821397382597/documents/439096700323235191</t>
  </si>
  <si>
    <t>Name: Johannes Huttner DJ Summit Description: PT - Transition - DJ IBAN: AT052011182828567600 Value date: 17/03/2025</t>
  </si>
  <si>
    <t>https://moneybird.com/238154821397382597/documents/446179986919916845</t>
  </si>
  <si>
    <t>Name: Adyen N.V. Description: TX49032500500XT Wix Payments IBAN: NL92ADYB2017400998 Reference: TX49032500500XT Value date: 17/03/2025</t>
  </si>
  <si>
    <t>Name: Adyen N.V. Description: TX49060158300XT Wix Payments IBAN: NL92ADYB2017400998 Reference: TX49060158300XT Value date: 17/03/2025</t>
  </si>
  <si>
    <t>Name: Liwia Sadoch Description: BG - Old Board Expense IBAN: LT603250083013065753 Value date: 18/03/2025</t>
  </si>
  <si>
    <t>https://moneybird.com/238154821397382597/documents/448818214281938659</t>
  </si>
  <si>
    <t>Name: Carla Gesell Description: TYW - Location - Second Payment IBAN: DE68370501981934822980 Value date: 18/03/2025</t>
  </si>
  <si>
    <t>https://moneybird.com/238154821397382597/documents/446874590225892588</t>
  </si>
  <si>
    <t>Name: Adyen N.V. Description: TX49097342300XT Wix Payments IBAN: NL92ADYB2017400998 Reference: TX49097342300XT Value date: 18/03/2025</t>
  </si>
  <si>
    <t>Name: Amelie Rust NL Description: BG - Wix Email IBAN: NL35ABNA0118552554 Value date: 18/03/2025</t>
  </si>
  <si>
    <t>https://moneybird.com/238154821397382597/documents/448706300109391076</t>
  </si>
  <si>
    <t>Name: Leandro Meier Description: ART - Tote Bag workshop - Supplies IBAN: NL73ABNA0137029012 Value date: 19/03/2025</t>
  </si>
  <si>
    <t>https://moneybird.com/238154821397382597/documents/448914889161836345</t>
  </si>
  <si>
    <t>Name: Hard Rock Cafe Amsterdam B V Description: BE - Committee appreciation - Tokens IBAN: NL33ABNA0501363866 Value date: 20/03/2025</t>
  </si>
  <si>
    <t>https://moneybird.com/238154821397382597/documents/449063849309504748</t>
  </si>
  <si>
    <t>Name: Hard Rock Cafe Amsterdam B V Description: BE - Board Organized Borrel - Tokens IBAN: NL33ABNA0501363866 Value date: 20/03/2025</t>
  </si>
  <si>
    <t>https://moneybird.com/238154821397382597/documents/449063608065721453</t>
  </si>
  <si>
    <t>Name: Hanna Schmidt Description: AC - Study session - Snacks IBAN: NL05REVO8886959400 Value date: 20/03/2025</t>
  </si>
  <si>
    <t>https://moneybird.com/238154821397382597/documents/449048784888923452</t>
  </si>
  <si>
    <t>Name: TRADETRACKER NED BV Description: Fact.nr.: NL2025N0003698 IBAN: NL86ABNA0627700659 Reference: NL2025N0003698 Value date: 24/03/2025</t>
  </si>
  <si>
    <t>Name: Transip B.V. Description: FACTUUR F0000.2503.0011.5666 IBAN: NL85INGB0654416265 Reference: E2E-ID-NL-227199735 Mandate ID: MANDATE-NL-200315305-1 Creditor ID: NL39ZZZ243458990000 Recurrent SEPA direct debit Value date: 24/03/2025</t>
  </si>
  <si>
    <t>Factuurnr. 2281965806 Betreft IBAN: NL51INGB0006734394 Periode: 01-02-2025 / 28-02-2025 Value date: 26/03/2025</t>
  </si>
  <si>
    <t>Name: Machiavelli Description: BE - Election night - Cost share IBAN: NL08INGB0004851137 Value date: 28/03/2025</t>
  </si>
  <si>
    <t>https://moneybird.com/238154821397382597/documents/449781064104150977</t>
  </si>
  <si>
    <t>Name: Roos Majoor Description: ART - Tote Bag - Snacks IBAN: NL47ASNB0950447153 Value date: 28/03/2025</t>
  </si>
  <si>
    <t>https://moneybird.com/238154821397382597/documents/449333737103033773</t>
  </si>
  <si>
    <t>Name: Mathilde Soblik Description: AW - Speaker Event - Snacks IBAN: FR7630066104410002055040262 Value date: 28/03/2025</t>
  </si>
  <si>
    <t>https://moneybird.com/238154821397382597/documents/449165440238749257</t>
  </si>
  <si>
    <t>From Zakelijke oranje spaarrekening L10080095 Value date: 30/03/2025</t>
  </si>
  <si>
    <t>https://moneybird.com/238154821397382597/documents/450035835831584194</t>
  </si>
  <si>
    <t>Card sequence no.: 013 01/04/2025 16:56 Transaction: W00012 Term: M1G0D2 Value date: 02/04/2025</t>
  </si>
  <si>
    <t>https://moneybird.com/238154821397382597/documents/450345278252254817</t>
  </si>
  <si>
    <t>Card sequence no.: 013 03/04/2025 17:28 Transaction: P00013 Term: CT843697 Value date: 04/04/2025</t>
  </si>
  <si>
    <t>https://moneybird.com/238154821397382597/documents/450344974693696600</t>
  </si>
  <si>
    <t>Card sequence no.: 013 03/04/2025 17:48 Transaction: P00014 Term: 73VT19 Value date: 04/04/2025</t>
  </si>
  <si>
    <t>Name: Luca Leue Description: TYW - Car IBAN: DE28120300001080428988 Value date: 04/04/2025</t>
  </si>
  <si>
    <t>https://moneybird.com/238154821397382597/documents/450410584304780949</t>
  </si>
  <si>
    <t>Card sequence no.: 013 05/04/2025 10:18 Transaction: D00017 Term: 546Y15 Value date: 06/04/2025</t>
  </si>
  <si>
    <t>https://moneybird.com/238154821397382597/documents/450958757274322083</t>
  </si>
  <si>
    <t>Card sequence no.: 013 05/04/2025 09:34 Transaction: P00015 Term: D7SZ4N Value date: 06/04/2025</t>
  </si>
  <si>
    <t>https://moneybird.com/238154821397382597/documents/450959323504313927</t>
  </si>
  <si>
    <t>Card sequence no.: 013 05/04/2025 09:56 Transaction: P00016 Term: 29Q87V Value date: 06/04/2025</t>
  </si>
  <si>
    <t>https://moneybird.com/238154821397382597/documents/450959112103003522</t>
  </si>
  <si>
    <t>Card sequence no.: 013 05/04/2025 09:18 Transaction: C00016 Term: T297TD Value date: 06/04/2025</t>
  </si>
  <si>
    <t>https://moneybird.com/238154821397382597/documents/450959497467266295</t>
  </si>
  <si>
    <t>Card sequence no.: 013 05/04/2025 11:08 Transaction: P00018 Term: C616JM Value date: 06/04/2025</t>
  </si>
  <si>
    <t>https://moneybird.com/238154821397382597/documents/450958419396920393</t>
  </si>
  <si>
    <t>Card sequence no.: 013 05/04/2025 10:42 Transaction: P00017 Term: L8FH3V Value date: 06/04/2025</t>
  </si>
  <si>
    <t>https://moneybird.com/238154821397382597/documents/450959674238305778</t>
  </si>
  <si>
    <t>Card sequence no.: 013 05/04/2025 15:46 Transaction: D00018 Term: 27YH50 Value date: 06/04/2025</t>
  </si>
  <si>
    <t>https://moneybird.com/238154821397382597/documents/450956101517575464</t>
  </si>
  <si>
    <t>Name: UNIVERSITEIT VAN AMSTERDAM Description: /INV/20250331-001 IBAN: NL48DEUT0444042342 Reference: 2001615377 Value date: 08/04/2025</t>
  </si>
  <si>
    <t>Name: STRIPE Description: AIMPPLENL IBAN: NL41CITI2032304805 Reference: AIMPPLENL-XY1N1W227ZRYE49L6STIDRALB Value date: 08/04/2025</t>
  </si>
  <si>
    <t>Name: STRIPE Description: AIMPPLENL IBAN: NL41CITI2032304805 Reference: AIMPPLENL-S1TL5MXEZXLQUEQBFIUFOJWU6 Value date: 08/04/2025</t>
  </si>
  <si>
    <t>Name: STRIPE Description: AIMPPLENL IBAN: NL41CITI2032304805 Reference: AIMPPLENL-EAMRSBXI5OSYS5AD39FTXNQMJ Value date: 08/04/2025</t>
  </si>
  <si>
    <t>Name: STRIPE Description: AIMPPLENL IBAN: NL41CITI2032304805 Reference: AIMPPLENL-RALRU5SQJTWOBYZ45CCRMEETQ Value date: 09/04/2025</t>
  </si>
  <si>
    <t>Name: Emma Weiss Description: TYW - Drinks IBAN: AT342060200001906833 Value date: 10/04/2025</t>
  </si>
  <si>
    <t>https://moneybird.com/238154821397382597/documents/450788315901199530</t>
  </si>
  <si>
    <t>Name: Jesse van Dorst t h o d n Domino s Pizza Someren Description: TYW - Food - Dominos IBAN: NL38RABO0189636602 Value date: 10/04/2025</t>
  </si>
  <si>
    <t>https://moneybird.com/238154821397382597/documents/450954830661289518</t>
  </si>
  <si>
    <t>Name: Albert Heijn B V Description: TYW - Food - AH IBAN: NL46INGB0702493368 Value date: 10/04/2025</t>
  </si>
  <si>
    <t>https://moneybird.com/238154821397382597/documents/450955009045039028</t>
  </si>
  <si>
    <t>Name: Hannah Sihler Description: TYW - Supplies IBAN: AT342070604500702099 Value date: 10/04/2025</t>
  </si>
  <si>
    <t>https://moneybird.com/238154821397382597/documents/450855284368213548</t>
  </si>
  <si>
    <t>https://moneybird.com/238154821397382597/documents/450855063893575297</t>
  </si>
  <si>
    <t>Name: Ivan Skrabalo Description: SP - Bowling - Open bar IBAN: BE05363193285775 Value date: 10/04/2025</t>
  </si>
  <si>
    <t>https://moneybird.com/238154821397382597/documents/450678756561913621</t>
  </si>
  <si>
    <t>Card sequence no.: 013 09/04/2025 15:52 Transaction: D00019 Term: 32HJZ9 Value date: 10/04/2025</t>
  </si>
  <si>
    <t>https://moneybird.com/238154821397382597/documents/450956268241159685</t>
  </si>
  <si>
    <t>Name: STRIPE Description: AIMPPLENL IBAN: NL41CITI2032304805 Reference: AIMPPLENL-2DWGDZAPFLNS2R2COMZQSL2XR Value date: 10/04/2025</t>
  </si>
  <si>
    <t>Name: Carla Gesell Description: AC - ICC - Transport IBAN: DE68370501981934822980 Value date: 11/04/2025</t>
  </si>
  <si>
    <t>https://moneybird.com/238154821397382597/documents/450966523335411662</t>
  </si>
  <si>
    <t>Name: Carla Gesell Description: TYW - Drinks IBAN: DE68370501981934822980 Value date: 11/04/2025</t>
  </si>
  <si>
    <t>https://moneybird.com/238154821397382597/documents/450967922038277413</t>
  </si>
  <si>
    <t>Name: Carla Gesell Description: TYW - Drinks - Beer IBAN: DE68370501981934822980 Value date: 11/04/2025</t>
  </si>
  <si>
    <t>https://moneybird.com/238154821397382597/documents/450968132571367156</t>
  </si>
  <si>
    <t>https://moneybird.com/238154821397382597/documents/450968014331840449</t>
  </si>
  <si>
    <t>Name: STRIPE Description: AIMPPLENL IBAN: NL41CITI2032304805 Reference: AIMPPLENL-BB1MA6DHTRNQKDASUY7DKQ9FN Value date: 11/04/2025</t>
  </si>
  <si>
    <t>Name: B V Crea Cafe Description: BE - Career Day - Borrel IBAN: NL30INGB0002562608 Value date: 14/04/2025</t>
  </si>
  <si>
    <t>https://moneybird.com/238154821397382597/documents/451306252984649429</t>
  </si>
  <si>
    <t>Name: USC Description: AIMClubs - Volleyball - Court rental IBAN: NL43DEUT0448860325 Value date: 14/04/2025</t>
  </si>
  <si>
    <t>https://moneybird.com/238154821397382597/documents/451311183098546135</t>
  </si>
  <si>
    <t>Name: STRIPE Description: AIMPPLENL IBAN: NL41CITI2032304805 Reference: AIMPPLENL-ZA7YNCG8WMACGEGN0JUSUZBDV Value date: 14/04/2025</t>
  </si>
  <si>
    <t>AC_DebateSessions</t>
  </si>
  <si>
    <t>Card sequence no.: 013 14/04/2025 15:57 Transaction: W00019 Term: 35N84B Value date: 15/04/2025</t>
  </si>
  <si>
    <t>https://moneybird.com/238154821397382597/documents/468078769252336929</t>
  </si>
  <si>
    <t>Name: Moneybird B.V. Description: Moneybird B.V. 2025-254968 MoneyBird B.V. IBAN: NL65ADYB2006011162 Reference: HV9DJWG4C6P6GXG6 Mandate ID: P7B82V7FNHFPJHF6 Creditor ID: NL48ZZZ342764500000 Recurrent SEPA direct debit Value date: 15/04/2025</t>
  </si>
  <si>
    <t>Card sequence no.: 013 15/04/2025 23:52 Transaction: W00020 Term: 80002531 Value date: 16/04/2025</t>
  </si>
  <si>
    <t>https://moneybird.com/238154821397382597/documents/451601425510696303</t>
  </si>
  <si>
    <t>Name: STRIPE Description: AIMPPLENL IBAN: NL41CITI2032304805 Reference: AIMPPLENL-KV6L5IM29RPRGU2ZUS2MFAP7H Value date: 16/04/2025</t>
  </si>
  <si>
    <t>Name: STRIPE Description: AIMPPLENL IBAN: NL41CITI2032304805 Reference: AIMPPLENL-MWMDHE4ZDO4526TOG5LXI1XQJ Value date: 17/04/2025</t>
  </si>
  <si>
    <t>Name: Lieve van der Stel Description: PT - Beerpong -Cups IBAN: NL21INGB0683908618 Value date: 18/04/2025</t>
  </si>
  <si>
    <t>https://moneybird.com/238154821397382597/documents/451495454224418606</t>
  </si>
  <si>
    <t>Name: Lieve van der Stel Description: PT - Beerpong - Tables IBAN: NL21INGB0683908618 Value date: 18/04/2025</t>
  </si>
  <si>
    <t>https://moneybird.com/238154821397382597/documents/451495359981553524</t>
  </si>
  <si>
    <t>Name: Ella Stanley Smith Description: SP - Football - Transport IBAN: NL29RABO0313341931 Value date: 18/04/2025</t>
  </si>
  <si>
    <t>https://moneybird.com/238154821397382597/documents/451396105234548221</t>
  </si>
  <si>
    <t>Name: Ella Stanley Smith Description: SP - Football - Snacks IBAN: NL29RABO0313341931 Value date: 18/04/2025</t>
  </si>
  <si>
    <t>https://moneybird.com/238154821397382597/documents/451395938103067731</t>
  </si>
  <si>
    <t>Name: Jakob Julius Jung Description: SP - Football - Pitch rental IBAN: DE52100123450277130601 Value date: 18/04/2025</t>
  </si>
  <si>
    <t>https://moneybird.com/238154821397382597/documents/451395581429941701</t>
  </si>
  <si>
    <t>Name: Ivan Skrabalo Description: SP - Football - Prize IBAN: BE05363193285775 Value date: 18/04/2025</t>
  </si>
  <si>
    <t>https://moneybird.com/238154821397382597/documents/451396351096259852</t>
  </si>
  <si>
    <t>Name: Groepsaccommodatie Brabantbos Description: FMW - location - deposit IBAN: NL47RABO0128808322 Value date: 18/04/2025</t>
  </si>
  <si>
    <t>https://moneybird.com/238154821397382597/documents/451683678316136442</t>
  </si>
  <si>
    <t>From Zakelijke oranje spaarrekening L10080095 Baseline Savings to Current to have liquidity for FMW Value date: 18/04/2025</t>
  </si>
  <si>
    <t>https://moneybird.com/238154821397382597/documents/451683430245074272</t>
  </si>
  <si>
    <t>Name: Winters Liessel B V Description: TYW - Drinks IBAN: NL03RABO0129001465 Value date: 18/04/2025</t>
  </si>
  <si>
    <t>https://moneybird.com/238154821397382597/documents/451683129433785908</t>
  </si>
  <si>
    <t>Name: Hannah Sihler Description: BE - Career Day - Company gifts IBAN: AT342070604500702099 Value date: 21/04/2025</t>
  </si>
  <si>
    <t>https://moneybird.com/238154821397382597/documents/451753702236096390</t>
  </si>
  <si>
    <t>Name: STRIPE Description: AIMPPLENL IBAN: NL41CITI2032304805 Reference: AIMPPLENL-SPYMWQLEI4N3LPYCQUPY9E2TV Value date: 22/04/2025</t>
  </si>
  <si>
    <t>Name: Transip B.V. Description: FACTUUR F0000.2504.0011.0918 IBAN: NL85INGB0654416265 Reference: E2E-ID-NL-227672565 Mandate ID: MANDATE-NL-200315305-1 Creditor ID: NL39ZZZ243458990000 Recurrent SEPA direct debit Value date: 22/04/2025</t>
  </si>
  <si>
    <t>Name: De Hoof Groepsacc. B.V. Description: retour verblijf 4 - 6 april IBAN: NL57RABO0148096204 Date/time: 23-04-2025 11:24:17 Value date: 23/04/2025</t>
  </si>
  <si>
    <t>Name: STRIPE Description: AIMPPLENL IBAN: NL41CITI2032304805 Reference: AIMPPLENL-YXTQEH4KSKT29GTOBTMRM0VDT Value date: 23/04/2025</t>
  </si>
  <si>
    <t>Name: Charlotte van der Neut Description: SP - bowling - lanes IBAN: NL84ASNB8833013456 Value date: 25/04/2025</t>
  </si>
  <si>
    <t>https://moneybird.com/238154821397382597/documents/452307306710828188</t>
  </si>
  <si>
    <t>Name: Ivan Skrabalo Description: SP - Spinning class - Snacks and Drinks IBAN: BE05363193285775 Value date: 25/04/2025</t>
  </si>
  <si>
    <t>https://moneybird.com/238154821397382597/documents/446974149887264278</t>
  </si>
  <si>
    <t>Name: Heman Verhuurservice B V Description: PT - beer pong - tables IBAN: NL22ABNA0536995559 Value date: 25/04/2025</t>
  </si>
  <si>
    <t>https://moneybird.com/238154821397382597/documents/451702404675536824</t>
  </si>
  <si>
    <t>Factuurnr. 2290628124 Betreft IBAN: NL51INGB0006734394 Periode: 01-03-2025 / 31-03-2025 Value date: 26/04/2025</t>
  </si>
  <si>
    <t>Name: STRIPE Description: AIMPPLENL IBAN: NL41CITI2032304805 Reference: AIMPPLENL-YSHXSKOYSINCV3ZAY0BGQ3S58 Value date: 28/04/2025</t>
  </si>
  <si>
    <t>Name: STRIPE Description: AIMPPLENL IBAN: NL41CITI2032304805 Reference: AIMPPLENL-TIHPPW9B2HR8BE8BBSWFEDEEV Value date: 29/04/2025</t>
  </si>
  <si>
    <t>Name: STRIPE Description: AIMPPLENL IBAN: NL41CITI2032304805 Reference: AIMPPLENL-HBKRPA49D7BNZ4XRCKK9PKSUS Value date: 30/04/2025</t>
  </si>
  <si>
    <t>Name: STRIPE Description: AIMPPLENL IBAN: NL41CITI2032304805 Reference: AIMPPLENL-XWJOFYKS6TNXIZXEIOUJ0C85T Value date: 02/05/2025</t>
  </si>
  <si>
    <t>Name: STRIPE Description: AIMPPLENL IBAN: NL41CITI2032304805 Reference: AIMPPLENL-DCNSYFZILO0N4RIFFD6PX0GHJ Value date: 05/05/2025</t>
  </si>
  <si>
    <t>Name: Lieve van der Stel Description: PT - Formal - Decorations IBAN: NL21INGB0683908618 Value date: 06/05/2025</t>
  </si>
  <si>
    <t>https://moneybird.com/238154821397382597/documents/453318211193013270</t>
  </si>
  <si>
    <t>Name: Sophia Kathryn Bitner Description: BD - Easter eggs - Supplies IBAN: NL05INGB0108931900 Value date: 06/05/2025</t>
  </si>
  <si>
    <t>https://moneybird.com/238154821397382597/documents/453313525655275034</t>
  </si>
  <si>
    <t>Name: STRIPE Description: AIMPPLENL IBAN: NL41CITI2032304805 Reference: AIMPPLENL-HHBXC9DGDKVGVRURZWLHLA8L4 Value date: 06/05/2025</t>
  </si>
  <si>
    <t>Name: Ella Rissanen Description: BE - Board Weekend 3 - Transport IBAN: DE18300700240082169400 Value date: 07/05/2025</t>
  </si>
  <si>
    <t>https://moneybird.com/238154821397382597/documents/453401309950772418</t>
  </si>
  <si>
    <t>Name: STRIPE Description: AIMPPLENL IBAN: NL41CITI2032304805 Reference: AIMPPLENL-4PXGGU5AG4SHVRYHKXRYHPB4P Value date: 07/05/2025</t>
  </si>
  <si>
    <t>Name: UNIVERSITEIT VAN AMSTERDAM Description: /INV/20250422-001 IBAN: NL48DEUT0444042342 Reference: 2001619838 Value date: 08/05/2025</t>
  </si>
  <si>
    <t>Name: STRIPE Description: AIMPPLENL IBAN: NL41CITI2032304805 Reference: AIMPPLENL-9ATGEVMV6S2TEHH4VKUNQR36H Value date: 08/05/2025</t>
  </si>
  <si>
    <t>Name: STRIPE Description: AIMPPLENL IBAN: NL41CITI2032304805 Reference: AIMPPLENL-HD6AD90G4W5EAZT0ZSU7S4EAQ Value date: 09/05/2025</t>
  </si>
  <si>
    <t>Name: STRIPE Description: AIMPPLENL IBAN: NL41CITI2032304805 Reference: AIMPPLENL-IJEVG02YAIOBOHGVYDMO61OC2 Value date: 12/05/2025</t>
  </si>
  <si>
    <t>Name: Ivan Skrabalo CR Description: WhatsApp Image 2025-05-11 at 20.15.53 575d6955 IBAN: HR1623600003249614348 Value date: 13/05/2025</t>
  </si>
  <si>
    <t>https://moneybird.com/238154821397382597/documents/453790531291448772</t>
  </si>
  <si>
    <t>Name: Sophie Van Oorsterhout Description: SP - Volleyball -Trophy IBAN: NL88RABO0123266459 Value date: 13/05/2025</t>
  </si>
  <si>
    <t>https://moneybird.com/238154821397382597/documents/453790027182245413</t>
  </si>
  <si>
    <t>Name: Ivan Skrabalo CR Description: SP - Volleyball - court rent IBAN: HR1623600003249614348 Value date: 13/05/2025</t>
  </si>
  <si>
    <t>https://moneybird.com/238154821397382597/documents/453790156765267832</t>
  </si>
  <si>
    <t>Name: Frassen Travelling Description: AC - Brussels - Bus IBAN: NL12RABO0351559655 Value date: 13/05/2025</t>
  </si>
  <si>
    <t>https://moneybird.com/238154821397382597/documents/453945331649873641</t>
  </si>
  <si>
    <t>Name: STRIPE Description: AIMPPLENL IBAN: NL41CITI2032304805 Reference: AIMPPLENL-QWVIEIRJUYF3IEXTE6TKMVXI6 Value date: 13/05/2025</t>
  </si>
  <si>
    <t>Name: STRIPE Description: AIMPPLENL IBAN: NL41CITI2032304805 Reference: AIMPPLENL-ONISJWJZ9XMB0EVOV73FWGQVJ Value date: 14/05/2025</t>
  </si>
  <si>
    <t>Name: Moneybird B.V. Description: Moneybird B.V. 2025-334708 MoneyBird B.V. IBAN: NL65ADYB2006011162 Reference: VX6H85ZV7DVXS9G3 Mandate ID: R42ZXNPQHBXSCGF3 Creditor ID: NL48ZZZ342764500000 Recurrent SEPA direct debit Value date: 14/05/2025</t>
  </si>
  <si>
    <t>Name: STRIPE Description: AIMPPLENL IBAN: NL41CITI2032304805 Reference: AIMPPLENL-EW05XQOICPMJ8MFRR6GNVMW8H Value date: 15/05/2025</t>
  </si>
  <si>
    <t>Name: Nuria Stojkovski Description: ART - Museumkaart - Refund IBAN: DE22701500001004014278 Value date: 16/05/2025</t>
  </si>
  <si>
    <t>https://moneybird.com/238154821397382597/documents/454218221335087046</t>
  </si>
  <si>
    <t>Name: Yuliia Tepliuk Description: ART - Museumkaart - Refund IBAN: NL96ABNA0112408931 Value date: 16/05/2025</t>
  </si>
  <si>
    <t>https://moneybird.com/238154821397382597/documents/454218106399622943</t>
  </si>
  <si>
    <t>Vincent Mackert</t>
  </si>
  <si>
    <t>Name: Vincent Mackert Description: ART - Museumkaart - Refund IBAN: DE05700202700015742375 Value date: 16/05/2025</t>
  </si>
  <si>
    <t>https://moneybird.com/238154821397382597/documents/454217964539872642</t>
  </si>
  <si>
    <t>Name: Sara Stornelli Description: ART - Museumkaart - Refund IBAN: NL67INGB0106426729 Value date: 16/05/2025</t>
  </si>
  <si>
    <t>https://moneybird.com/238154821397382597/documents/454217836167955574</t>
  </si>
  <si>
    <t>Name: Sunmoon Stokhof Description: ART - Museumkaart - Refund IBAN: NL92INGB0001192240 Value date: 16/05/2025</t>
  </si>
  <si>
    <t>https://moneybird.com/238154821397382597/documents/454217736393852352</t>
  </si>
  <si>
    <t>Name: Emma Ferschl Description: ART - Museumkaart - Refund IBAN: NL86INGB0104491043 Value date: 16/05/2025</t>
  </si>
  <si>
    <t>https://moneybird.com/238154821397382597/documents/454217629037495366</t>
  </si>
  <si>
    <t>Name: Kutay Yeni Description: ART - Museumkaart - Refund IBAN: NL06ABNA0105295213 Value date: 16/05/2025</t>
  </si>
  <si>
    <t>https://moneybird.com/238154821397382597/documents/454217539588719905</t>
  </si>
  <si>
    <t>Lazar Zafirov</t>
  </si>
  <si>
    <t>Name: Lazar Zafirov Description: ART - Museumkaart - Refund IBAN: NL62INGB0103458522 Value date: 16/05/2025</t>
  </si>
  <si>
    <t>https://moneybird.com/238154821397382597/documents/454217428586465275</t>
  </si>
  <si>
    <t>Name: Leandro Meier Description: ART - Museumkaart - Refund IBAN: NL73ABNA0137029012 Value date: 16/05/2025</t>
  </si>
  <si>
    <t>https://moneybird.com/238154821397382597/documents/454217364643251566</t>
  </si>
  <si>
    <t>Name: Clarine Koch Description: ART - Museumkaart - Refund IBAN: NL34RABO0140281134 Value date: 16/05/2025</t>
  </si>
  <si>
    <t>https://moneybird.com/238154821397382597/documents/454217210624214951</t>
  </si>
  <si>
    <t>Name: Anica Sophia David Description: ART - Museumkaart - Refund IBAN: NL19ABNA0125006543 Value date: 16/05/2025</t>
  </si>
  <si>
    <t>https://moneybird.com/238154821397382597/documents/454217093461574823</t>
  </si>
  <si>
    <t>Name: Janos Seregi Description: ART - Museumkaart - Refund IBAN: NL60INGB0108196232 Value date: 16/05/2025</t>
  </si>
  <si>
    <t>https://moneybird.com/238154821397382597/documents/454216662656222593</t>
  </si>
  <si>
    <t>Name: Helga Gyarfas Description: ART - Museumkaart - Refund IBAN: NL56INGB0108812448 Value date: 16/05/2025</t>
  </si>
  <si>
    <t>https://moneybird.com/238154821397382597/documents/454216369029776676</t>
  </si>
  <si>
    <t>Name: Rosu Parascheva Description: ART - Museumkaart - Refund IBAN: NL59ABNA0124773702 Value date: 16/05/2025</t>
  </si>
  <si>
    <t>https://moneybird.com/238154821397382597/documents/454216260686709937</t>
  </si>
  <si>
    <t>Name: Melina Betten Description: ART - Museumkaart - Refund IBAN: NL14RABO0353821853 Value date: 16/05/2025</t>
  </si>
  <si>
    <t>https://moneybird.com/238154821397382597/documents/454216132396582672</t>
  </si>
  <si>
    <t>Elin Papenbrock</t>
  </si>
  <si>
    <t>Name: Elin Papenbrock Description: ART - Museumkaart - Refund IBAN: NL75INGB0103975977 Value date: 16/05/2025</t>
  </si>
  <si>
    <t>https://moneybird.com/238154821397382597/documents/454215956489570195</t>
  </si>
  <si>
    <t>Name: Danae Espinoza Erazo Description: ART - Museumkaart - Refund IBAN: NL76ABNA0136263046 Value date: 16/05/2025</t>
  </si>
  <si>
    <t>https://moneybird.com/238154821397382597/documents/454215822697564081</t>
  </si>
  <si>
    <t>Name: Najma Hassan Description: ART - Museumkaart - Refund IBAN: NL49REVO1460830474 Value date: 16/05/2025</t>
  </si>
  <si>
    <t>https://moneybird.com/238154821397382597/documents/454215431612269747</t>
  </si>
  <si>
    <t>Name: Tatiana Cimbir Description: ART - Museumkaart - Refund IBAN: NL43REVO9731485627 Value date: 16/05/2025</t>
  </si>
  <si>
    <t>https://moneybird.com/238154821397382597/documents/454214660236772996</t>
  </si>
  <si>
    <t>Name: Appoline Fluxa Description: ART - Museumkaart - Refund IBAN: NL73ABNA0124990924 Value date: 16/05/2025</t>
  </si>
  <si>
    <t>https://moneybird.com/238154821397382597/documents/454214571152901622</t>
  </si>
  <si>
    <t>Name: Lisanna Tonne Description: ART - Museumkaart - Refund IBAN: NL40INGB0112429866 Value date: 16/05/2025</t>
  </si>
  <si>
    <t>https://moneybird.com/238154821397382597/documents/454214229458683567</t>
  </si>
  <si>
    <t>Name: Jade Girons Description: ART - Museumkaart - Refund IBAN: LT423250084332077994 Value date: 16/05/2025</t>
  </si>
  <si>
    <t>https://moneybird.com/238154821397382597/documents/454214154784343752</t>
  </si>
  <si>
    <t>Name: Chengzhi Xu Description: ART - Museumkaart - Refund IBAN: NL09INGB0108499499 Value date: 16/05/2025</t>
  </si>
  <si>
    <t>https://moneybird.com/238154821397382597/documents/454214065945838808</t>
  </si>
  <si>
    <t>Name: Anastasia Papuc Description: ART - Museumkaart - Refund IBAN: NL74INGB0108408507 Value date: 16/05/2025</t>
  </si>
  <si>
    <t>https://moneybird.com/238154821397382597/documents/454213738610820835</t>
  </si>
  <si>
    <t>Name: Leandro Meier Description: ART - Beads - Supplies IBAN: NL73ABNA0137029012 Value date: 16/05/2025</t>
  </si>
  <si>
    <t>https://moneybird.com/238154821397382597/documents/453983446112404620</t>
  </si>
  <si>
    <t>Name: Undercurrent Events B V Description: PT - Gala - Location IBAN: NL76INGB0007847795 Value date: 16/05/2025</t>
  </si>
  <si>
    <t>https://moneybird.com/238154821397382597/documents/454223043527443957</t>
  </si>
  <si>
    <t>Name: STRIPE Description: AIMPPLENL IBAN: NL41CITI2032304805 Reference: AIMPPLENL-LQ2T5PKZUCVIUWYQ2STIRNXC3 Value date: 16/05/2025</t>
  </si>
  <si>
    <t>Name: STRIPE Description: AIMPPLENL IBAN: NL41CITI2032304805 Reference: AIMPPLENL-DCGHN51BNPKQQTL5JB7U8MR4A Value date: 19/05/2025</t>
  </si>
  <si>
    <t>Name: Studievereniging Mercurius Description: Cost for 20 tickets for Volleyball event IBAN: NL73RABO0393851818 Date/time: 20-05-2025 09:20:41 Value date: 20/05/2025</t>
  </si>
  <si>
    <t>Name: STRIPE Description: AIMPPLENL IBAN: NL41CITI2032304805 Reference: AIMPPLENL-EPTPHLZSY0MSSRTJNP9PDBVER Value date: 20/05/2025</t>
  </si>
  <si>
    <t>Name: KALLIOPPE Description: Kallioppe's share Volleyball tournament IBAN: NL51ABNA0211182222 Date/time: 21-05-2025 15:50:27 Value date: 21/05/2025</t>
  </si>
  <si>
    <t>Name: STRIPE Description: AIMPPLENL IBAN: NL41CITI2032304805 Reference: AIMPPLENL-OOLLGI4QWLP1FVRTGEP866NFC Value date: 21/05/2025</t>
  </si>
  <si>
    <t>Name: Transip B.V. Description: FACTUUR F0000.2505.0011.5660 IBAN: NL85INGB0654416265 Reference: E2E-ID-NL-228179031 Mandate ID: MANDATE-NL-200315305-1 Creditor ID: NL39ZZZ243458990000 Recurrent SEPA direct debit Value date: 22/05/2025</t>
  </si>
  <si>
    <t>Card sequence no.: 013 23/05/2025 18:39 Transaction: P00021 Term: 47417500 Value date: 24/05/2025</t>
  </si>
  <si>
    <t>https://moneybird.com/238154821397382597/documents/468080488580384592</t>
  </si>
  <si>
    <t>Name: Hannah Sihler Description: BE - Board Weekend 3 - Gifts IBAN: AT342070604500702099 Value date: 25/05/2025</t>
  </si>
  <si>
    <t>https://moneybird.com/238154821397382597/documents/454390786322073515</t>
  </si>
  <si>
    <t>Name: JS Media Description: PT - Formal - Photographer IBAN: NL25INGB0655174818 Value date: 25/05/2025</t>
  </si>
  <si>
    <t>https://moneybird.com/238154821397382597/documents/455030824677410597</t>
  </si>
  <si>
    <t>Factuurnr. 2298836282 Betreft IBAN: NL51INGB0006734394 Periode: 01-04-2025 / 30-04-2025 Value date: 26/05/2025</t>
  </si>
  <si>
    <t>Name: Dimitri Sytse Maravas Description: PT - Formal - DJ IBAN: NL72ABNA0423117920 Value date: 30/05/2025</t>
  </si>
  <si>
    <t>https://moneybird.com/238154821397382597/documents/455519713805469068</t>
  </si>
  <si>
    <t>Name: Martello Description: PT - Formal - DJ IBAN: NL13RABO0307271765 Value date: 30/05/2025</t>
  </si>
  <si>
    <t>https://moneybird.com/238154821397382597/documents/455519320710055848</t>
  </si>
  <si>
    <t>Card sequence no.: 013 06/06/2025 11:45 Transaction: W00022 Term: 96MNX0 Value date: 07/06/2025</t>
  </si>
  <si>
    <t>https://moneybird.com/238154821397382597/documents/468084063767365339</t>
  </si>
  <si>
    <t>Card sequence no.: 013 07/06/2025 19:22 Transaction: C00021 Term: 56038549 Value date: 08/06/2025</t>
  </si>
  <si>
    <t>https://moneybird.com/238154821397382597/documents/457111264022235023</t>
  </si>
  <si>
    <t>Card sequence no.: 013 07/06/2025 12:54 Transaction: W00024 Term: 61740999 Value date: 08/06/2025</t>
  </si>
  <si>
    <t>https://moneybird.com/238154821397382597/documents/457111751405602160</t>
  </si>
  <si>
    <t>Card sequence no.: 013 07/06/2025 11:04 Transaction: C00020 Term: 54342791 Value date: 08/06/2025</t>
  </si>
  <si>
    <t>https://moneybird.com/238154821397382597/documents/468102789768152904</t>
  </si>
  <si>
    <t>Card sequence no.: 013 07/06/2025 10:08 Transaction: P00023 Term: 66029649 Value date: 08/06/2025</t>
  </si>
  <si>
    <t>https://moneybird.com/238154821397382597/documents/468102676381435094</t>
  </si>
  <si>
    <t>Name: Rosalia de Vries Description: ART - Museumkaart - Refund IBAN: NL62INGB0681157348 Value date: 11/06/2025</t>
  </si>
  <si>
    <t>https://moneybird.com/238154821397382597/documents/454214314699523647</t>
  </si>
  <si>
    <t>Name: Emily Rose Reid Description: BE - Board Weekend 3 - Transport IBAN: NL46REVO9048195748 Value date: 11/06/2025</t>
  </si>
  <si>
    <t>https://moneybird.com/238154821397382597/documents/456130459398571866</t>
  </si>
  <si>
    <t>Name: Vaisakh Karuvath Description: BE - Board Weekend 3 - Tour IBAN: NL90ABNA0124687881 Value date: 11/06/2025</t>
  </si>
  <si>
    <t>https://moneybird.com/238154821397382597/documents/456028763943076947</t>
  </si>
  <si>
    <t>https://moneybird.com/238154821397382597/documents/456130851983329268</t>
  </si>
  <si>
    <t>Name: STRIPE Description: AIMPPLENL IBAN: NL41CITI2032304805 Reference: AIMPPLENL-YEUMVRMTQXR0ABOZCUSGQEIMJ Value date: 13/06/2025</t>
  </si>
  <si>
    <t>Name: Mathilde Soblik Description: AW - Earth Day - Snacks IBAN: FR7630066104410002055040262 Value date: 15/06/2025</t>
  </si>
  <si>
    <t>https://moneybird.com/238154821397382597/documents/456763484858746710</t>
  </si>
  <si>
    <t>Name: Vaisakh Karuvath Description: PT - Formal - Food IBAN: NL90ABNA0124687881 Value date: 15/06/2025</t>
  </si>
  <si>
    <t>https://moneybird.com/238154821397382597/documents/456835353191384415</t>
  </si>
  <si>
    <t>Name: Felix Oldenziel Description: PT - Formal - Band IBAN: NL25INGB0756554659 Value date: 15/06/2025</t>
  </si>
  <si>
    <t>https://moneybird.com/238154821397382597/documents/456927027224642990</t>
  </si>
  <si>
    <t>Name: STRIPE Description: AIMPPLENL IBAN: NL41CITI2032304805 Reference: AIMPPLENL-STGJZXNCZE5RHBUJJL1XPO7LT Value date: 16/06/2025</t>
  </si>
  <si>
    <t>Name: Moneybird B.V. Description: Moneybird B.V. 2025-412776 MoneyBird B.V. IBAN: NL65ADYB2006011162 Reference: Z2JD7JT2F6QVV3G6 Mandate ID: PJR3LPMST8JKDJG6 Creditor ID: NL48ZZZ342764500000 Recurrent SEPA direct debit Value date: 16/06/2025</t>
  </si>
  <si>
    <t>Name: Louisa Ortmanns Description: AC - Debate - Snacks IBAN: NL11INGB0108163261 Value date: 17/06/2025</t>
  </si>
  <si>
    <t>https://moneybird.com/238154821397382597/documents/457118584036919051</t>
  </si>
  <si>
    <t>Name: Carla Gesell Description: BE - Transition - Transport 1 IBAN: DE68370501981934822980 Value date: 17/06/2025</t>
  </si>
  <si>
    <t>https://moneybird.com/238154821397382597/documents/456927681331594295</t>
  </si>
  <si>
    <t>Name: Carla Gesell Description: BE - Transition - Transport 2 IBAN: DE68370501981934822980 Value date: 17/06/2025</t>
  </si>
  <si>
    <t>https://moneybird.com/238154821397382597/documents/456928263583827285</t>
  </si>
  <si>
    <t>Name: Carla Gesell Description: BE - Transition - Transport 3 IBAN: DE68370501981934822980 Value date: 17/06/2025</t>
  </si>
  <si>
    <t>https://moneybird.com/238154821397382597/documents/456928438036465587</t>
  </si>
  <si>
    <t>Name: Anica Sophia David Description: BE - GA 2 - Snacks IBAN: NL19ABNA0125006543 Value date: 17/06/2025</t>
  </si>
  <si>
    <t>https://moneybird.com/238154821397382597/documents/457110830276675015</t>
  </si>
  <si>
    <t>Name: STRIPE Description: AIMPPLENL IBAN: NL41CITI2032304805 Reference: AIMPPLENL-XW8XPTEEDN1GRT9O7MO9NVI7B Value date: 17/06/2025</t>
  </si>
  <si>
    <t>Name: STRIPE Description: AIMPPLENL IBAN: NL41CITI2032304805 Reference: AIMPPLENL-BPJCC8ZG40GPTCWW3SOSFSO8M Value date: 18/06/2025</t>
  </si>
  <si>
    <t>Card sequence no.: 013 18/06/2025 15:04 Transaction: P00025 Term: 46K6QG Value date: 19/06/2025</t>
  </si>
  <si>
    <t>https://moneybird.com/238154821397382597/documents/457765452369626480</t>
  </si>
  <si>
    <t>Name: STRIPE Description: AIMPPLENL IBAN: NL41CITI2032304805 Reference: AIMPPLENL-UTDWJCSHSDO1ZPJHT9YBS3IKH Value date: 19/06/2025</t>
  </si>
  <si>
    <t>Name: STRIPE Description: AIMPPLENL IBAN: NL41CITI2032304805 Reference: AIMPPLENL-JDXXUWQ1H59LCRQTQQI0Y7UMJ Value date: 20/06/2025</t>
  </si>
  <si>
    <t>Name: Hard Rock Cafe Amsterdam B V Description: BE - Association meeting - baby board borrel IBAN: NL33ABNA0501363866 Value date: 23/06/2025</t>
  </si>
  <si>
    <t>https://moneybird.com/238154821397382597/documents/457399609328665864</t>
  </si>
  <si>
    <t>Name: STRIPE Description: AIMPPLENL IBAN: NL41CITI2032304805 Reference: AIMPPLENL-CWZE0EVNNN6UJ45ZUTRP7FXCI Value date: 23/06/2025</t>
  </si>
  <si>
    <t>Name: Transip B.V. Description: FACTUUR F0000.2506.0011.5835 IBAN: NL85INGB0654416265 Reference: E2E-ID-NL-228667077 Mandate ID: MANDATE-NL-200315305-1 Creditor ID: NL39ZZZ243458990000 Recurrent SEPA direct debit Value date: 23/06/2025</t>
  </si>
  <si>
    <t>Name: David Farla Description: PT - Boat Party - Refund IBAN: NL62INGB0657283029 Value date: 24/06/2025</t>
  </si>
  <si>
    <t>https://moneybird.com/238154821397382597/documents/457766518294316676</t>
  </si>
  <si>
    <t>Name: Leandro Meier Description: ART - SipnPaint - Supplies IBAN: NL73ABNA0137029012 Value date: 24/06/2025</t>
  </si>
  <si>
    <t>https://moneybird.com/238154821397382597/documents/457342032887678902</t>
  </si>
  <si>
    <t>Name: Boot 10 Amsterdam B V Description: PT - Boat Party - Costs IBAN: NL79RABO0156361760 Value date: 25/06/2025</t>
  </si>
  <si>
    <t>https://moneybird.com/238154821397382597/documents/457864538579011133</t>
  </si>
  <si>
    <t>From Zakelijke oranje spaarrekening L10080095 Baseline to Current for liquidity to pay boat Value date: 25/06/2025</t>
  </si>
  <si>
    <t>https://moneybird.com/238154821397382597/documents/468086116754392622</t>
  </si>
  <si>
    <t>Name: David Alexander Langer Description: FMW - Car IBAN: DE07100123450830940301 Value date: 25/06/2025</t>
  </si>
  <si>
    <t>https://moneybird.com/238154821397382597/documents/457828465780982874</t>
  </si>
  <si>
    <t>Name: STRIPE Description: AIMPPLENL IBAN: NL41CITI2032304805 Reference: AIMPPLENL-DFKZKATLKYLC0GMPL7SPNHLPD Value date: 25/06/2025</t>
  </si>
  <si>
    <t>Name: STRIPE Description: AIMPPLENL IBAN: NL41CITI2032304805 Reference: AIMPPLENL-A8G7N7LU3N4C3G2VCSQBVLIGF Value date: 26/06/2025</t>
  </si>
  <si>
    <t>Factuurnr. 2307203749 Betreft IBAN: NL51INGB0006734394 Periode: 01-05-2025 / 31-05-2025 Value date: 26/06/2025</t>
  </si>
  <si>
    <t>Name: STRIPE Description: AIMPPLENL IBAN: NL41CITI2032304805 Reference: AIMPPLENL-8SGMLQFTVI6TCPKZVEQGIAERO Value date: 27/06/2025</t>
  </si>
  <si>
    <t>Name: Sofia Brunetti Description: AC - Debate - Snacks IBAN: NL35ABNA0136433243 Value date: 08/07/2025</t>
  </si>
  <si>
    <t>https://moneybird.com/238154821397382597/documents/459039068947219538</t>
  </si>
  <si>
    <t>Name: A Plein Muziek Studio s Exploitatie B V Description: Music Task Force - Rent IBAN: NL08ABNA0609430076 Value date: 08/07/2025</t>
  </si>
  <si>
    <t>https://moneybird.com/238154821397382597/documents/459038191153841334</t>
  </si>
  <si>
    <t>Name: Proflow Security Services B V Description: PT - Boat Party - Security IBAN: NL57INGB0107376539 Value date: 08/07/2025</t>
  </si>
  <si>
    <t>https://moneybird.com/238154821397382597/documents/459037784140678864</t>
  </si>
  <si>
    <t>Name: Leandro Meier Description: ART - SipnPaint - Canvas IBAN: NL73ABNA0137029012 Value date: 08/07/2025</t>
  </si>
  <si>
    <t>https://moneybird.com/238154821397382597/documents/459034302549591979</t>
  </si>
  <si>
    <t>Name: STRIPE Description: AIMPPLENL IBAN: NL41CITI2032304805 Reference: AIMPPLENL-CEGPLS8J5KQTQRE5PAMAWYJKG Value date: 11/07/2025</t>
  </si>
  <si>
    <t>Name: Moneybird B.V. Description: Moneybird B.V. 2025-491313 MoneyBird B.V. IBAN: NL65ADYB2006011162 Reference: Q863WRJ64SQ983Z3 Mandate ID: RNVFDS4VN4LKTTX3 Creditor ID: NL48ZZZ342764500000 Recurrent SEPA direct debit Value date: 15/07/2025</t>
  </si>
  <si>
    <t>Name: Transip B.V. Description: FACTUUR F0000.2507.0011.4909 IBAN: NL85INGB0654416265 Reference: E2E-ID-NL-229154145 Mandate ID: MANDATE-NL-200315305-1 Creditor ID: NL39ZZZ243458990000 Recurrent SEPA direct debit Value date: 22/07/2025</t>
  </si>
  <si>
    <t>ID</t>
  </si>
  <si>
    <t>iDEAL</t>
  </si>
  <si>
    <t>Name: De Kabel B.V. via Stichting Mollie Payments Description: 953166cee0694d64c54a2f5843c8ad97 8152376339882997 Reservation(zmx31epoAg) Waterkant De Kabel B.V. IBAN: NL51DEUT0265262461 Reference: 23-07-2025 16:38 8152376339882997 Value date: 23/07/2025</t>
  </si>
  <si>
    <t>https://moneybird.com/238154821397382597/documents/468084860304492354</t>
  </si>
  <si>
    <t>Factuurnr. 2315560204 Betreft IBAN: NL51INGB0006734394 Periode: 01-06-2025 / 30-06-2025 Value date: 26/07/2025</t>
  </si>
  <si>
    <t>Name: UNIVERSITEIT VAN AMSTERDAM Description: /INV/20250723-001 IBAN: NL48DEUT0444042342 Reference: 2001632267 Value date: 30/07/2025</t>
  </si>
  <si>
    <t>Name: Boot 10 Amsterdam B V Description: PT - Boat Party - bar guarantee IBAN: NL79RABO0156361760 Value date: 02/08/2025</t>
  </si>
  <si>
    <t>https://moneybird.com/238154821397382597/documents/461272755033080914</t>
  </si>
  <si>
    <t>Name: Olaf Scheepers Description: BG - Board Hoodies 25/26 IBAN: NL08ASNB0706948270 Value date: 02/08/2025</t>
  </si>
  <si>
    <t>https://moneybird.com/238154821397382597/documents/460565412347643649</t>
  </si>
  <si>
    <t>Name: DETHON Horeca Exploitatie B V Description: BE - Graduation borrel IBAN: NL37ABNA0602521505 Value date: 02/08/2025</t>
  </si>
  <si>
    <t>https://moneybird.com/238154821397382597/documents/460112372789413004</t>
  </si>
  <si>
    <t>Name: Wesley Kraan Description: FMW - Staff merch IBAN: NL65SNSB0772674604 Value date: 02/08/2025</t>
  </si>
  <si>
    <t>https://moneybird.com/238154821397382597/documents/460736499944523537</t>
  </si>
  <si>
    <t>Name: STRIPE Description: AIMPPLENL IBAN: NL41CITI2032304805 Reference: AIMPPLENL-LJ9GTJGBNWP4CVCOK0AFKK0H9 Value date: 06/08/2025</t>
  </si>
  <si>
    <t>Name: STRIPE Description: AIMPPLENL IBAN: NL41CITI2032304805 Reference: AIMPPLENL-GNSZ3RMQIBPB3RH8HAR4TV7RL Value date: 13/08/2025</t>
  </si>
  <si>
    <t>Name: Moneybird B.V. Description: Moneybird B.V. 2025-570948 MoneyBird B.V. IBAN: NL65ADYB2006011162 Reference: KVQPD8S55V7T39F6 Mandate ID: RNVFDS4VN4LKTTX3 Creditor ID: NL48ZZZ342764500000 Recurrent SEPA direct debit Value date: 13/08/2025</t>
  </si>
  <si>
    <t>Name: STRIPE Description: AIMPPLENL IBAN: NL41CITI2032304805 Reference: AIMPPLENL-1UZVEIMSF8GYEFCJJEPJEUMJI Value date: 14/08/2025</t>
  </si>
  <si>
    <t>Name: STRIPE Description: AIMPPLENL IBAN: NL41CITI2032304805 Reference: AIMPPLENL-WNVY24BV3MEWKICPFAZMOZE8N Value date: 15/08/2025</t>
  </si>
  <si>
    <t>Name: STRIPE Description: AIMPPLENL IBAN: NL41CITI2032304805 Reference: AIMPPLENL-NE66S39J88ECIXHRCP3RVWPSQ Value date: 18/08/2025</t>
  </si>
  <si>
    <t>Name: STRIPE Description: AIMPPLENL IBAN: NL41CITI2032304805 Reference: AIMPPLENL-B1VTDRMAZPFLY1GC2RHY1MNTM Value date: 19/08/2025</t>
  </si>
  <si>
    <t>Name: STRIPE Description: AIMPPLENL IBAN: NL41CITI2032304805 Reference: AIMPPLENL-FXRBPAJXB7TVBWJGT4FVY7ALJ Value date: 20/08/2025</t>
  </si>
  <si>
    <t>Name: STRIPE Description: AIMPPLENL IBAN: NL41CITI2032304805 Reference: AIMPPLENL-XPU3HUMIRQ6VQKAOEQE29N5VW Value date: 21/08/2025</t>
  </si>
  <si>
    <t>Name: STRIPE Description: AIMPPLENL IBAN: NL41CITI2032304805 Reference: AIMPPLENL-W4V4EEI3NVWKC0P5AQ4IIYBSQ Value date: 22/08/2025</t>
  </si>
  <si>
    <t>Name: Transip B.V. Description: FACTUUR F0000.2508.0011.3964 IBAN: NL85INGB0654416265 Reference: E2E-ID-NL-229639005 Mandate ID: MANDATE-NL-200315305-1 Creditor ID: NL39ZZZ243458990000 Recurrent SEPA direct debit Value date: 22/08/2025</t>
  </si>
  <si>
    <t>Name: STRIPE Description: AIMPPLENL IBAN: NL41CITI2032304805 Reference: AIMPPLENL-7JLUKOYE6IWP1ULDVIZPU5MJI Value date: 25/08/2025</t>
  </si>
  <si>
    <t>Name: STRIPE Description: AIMPPLENL IBAN: NL41CITI2032304805 Reference: AIMPPLENL-MUSXUGQFJ8LAXSQIMNKFMW3WG Value date: 26/08/2025</t>
  </si>
  <si>
    <t>Factuurnr. 2324389696 Betreft IBAN: NL51INGB0006734394 Periode: 01-07-2025 / 31-07-2025 Value date: 26/08/2025</t>
  </si>
  <si>
    <t>Name: STUDIEVERENIGING SEFA Description: Liquidity + Profit Unlocked 2025 IBAN: NL42ABNA0613392787 Date/time: 27-08-2025 18:16:03 Value date: 27/08/2025</t>
  </si>
  <si>
    <t>Name: STRIPE Description: AIMPPLENL IBAN: NL41CITI2032304805 Reference: AIMPPLENL-7G0LRWWSTPVFNPVS5RBIC6CJ5 Value date: 27/08/2025</t>
  </si>
  <si>
    <t>Name: STRIPE Description: AIMPPLENL IBAN: NL41CITI2032304805 Reference: AIMPPLENL-B75YDXF3OPD8KJWGUWYNKM7QX Value date: 28/08/2025</t>
  </si>
  <si>
    <t>Name: STRIPE Description: AIMPPLENL IBAN: NL41CITI2032304805 Reference: AIMPPLENL-X1HXZSZVKC2BLI8IWGWKLTNLW Value date: 29/08/2025</t>
  </si>
  <si>
    <t>Name: Videt Visser Description: PT - Boat Party - DJ IBAN: NL76ABNA0818921692 Value date: 02/09/2025</t>
  </si>
  <si>
    <t>https://moneybird.com/238154821397382597/documents/463042369526170800</t>
  </si>
  <si>
    <t>Name: Mister Coco s Amsterdam BV Description: AIMW - Karaoke - Tokens IBAN: NL30RABO0304657018 Value date: 02/09/2025</t>
  </si>
  <si>
    <t>https://moneybird.com/238154821397382597/documents/463998430195221827</t>
  </si>
  <si>
    <t>Name: Powerzone B V Description: AIMW - Bowling IBAN: NL24RABO0160557224 Value date: 02/09/2025</t>
  </si>
  <si>
    <t>https://moneybird.com/238154821397382597/documents/463997844493174011</t>
  </si>
  <si>
    <t>Name: Hard Rock Cafe Amsterdam B V Description: AIMW - Scavenger hunt - prize IBAN: NL33ABNA0501363866 Value date: 02/09/2025</t>
  </si>
  <si>
    <t>https://moneybird.com/238154821397382597/documents/464040204503614654</t>
  </si>
  <si>
    <t>Name: Groepsaccommodatie Brabantbos Description: FMW - Location - second payment IBAN: NL47RABO0128808322 Value date: 04/09/2025</t>
  </si>
  <si>
    <t>https://moneybird.com/238154821397382597/documents/464099663972140218</t>
  </si>
  <si>
    <t>Name: Cant Dutch This Description: DC apr-jun 25 IBAN: NL12KNAB0609726072 Date/time: 08-09-2025 13:37:35 Value date: 08/09/2025</t>
  </si>
  <si>
    <t>Name: b-token BV via MultiSafepay Description: 1251465790 8151186038386870 b-token EU (nl-NL) b-token BV IBAN: NL17DEUT0265262879 Reference: 09-09-2025 16:44 8151186038386870 Value date: 09/09/2025</t>
  </si>
  <si>
    <t>https://moneybird.com/238154821397382597/documents/468085578867410827</t>
  </si>
  <si>
    <r>
      <t xml:space="preserve">Name: </t>
    </r>
    <r>
      <rPr>
        <u/>
        <sz val="10"/>
        <color rgb="FF000000"/>
        <rFont val="Helvetica Neue"/>
        <family val="2"/>
      </rPr>
      <t>bol.com</t>
    </r>
    <r>
      <rPr>
        <sz val="10"/>
        <color rgb="FF000000"/>
        <rFont val="Helvetica Neue"/>
        <family val="2"/>
      </rPr>
      <t xml:space="preserve"> Description: P1588605210 7051746332388502 </t>
    </r>
    <r>
      <rPr>
        <u/>
        <sz val="10"/>
        <color rgb="FF000000"/>
        <rFont val="Helvetica Neue"/>
        <family val="2"/>
      </rPr>
      <t>bol.com</t>
    </r>
    <r>
      <rPr>
        <sz val="10"/>
        <color rgb="FF000000"/>
        <rFont val="Helvetica Neue"/>
        <family val="2"/>
      </rPr>
      <t xml:space="preserve"> A0008TU000 IBAN: NL27INGB0000026500 Reference: 09-09-2025 16:05 7051746332388502 Value date: 09/09/2025</t>
    </r>
  </si>
  <si>
    <t>https://moneybird.com/238154821397382597/documents/468085397311719217</t>
  </si>
  <si>
    <t>Name: Stripe Technology Europe Ltd Description: Study Association U2O2D5 IBAN: DK8789000000014387 Value date: 09/09/2025</t>
  </si>
  <si>
    <t>Name: Stripe Technology Europe Ltd Description: Study Association C1S2M3 IBAN: DK8789000000014387 Value date: 09/09/2025</t>
  </si>
  <si>
    <t>Name: Carla Gesell Description: BG - Office Supplies - Sticker IBAN: DE68370501981934822980 Value date: 10/09/2025</t>
  </si>
  <si>
    <t>https://moneybird.com/238154821397382597/documents/464040786504189051</t>
  </si>
  <si>
    <t>Name: Carla Gesell Description: AIMW - Wristbands IBAN: DE68370501981934822980 Value date: 10/09/2025</t>
  </si>
  <si>
    <t>https://moneybird.com/238154821397382597/documents/464040320240191079</t>
  </si>
  <si>
    <t>Name: Stripe Technology Europe Ltd Description: Study Association F1E1S6 IBAN: DK8789000000014387 Value date: 10/09/2025</t>
  </si>
  <si>
    <t>Name: Stripe Technology Europe Ltd Description: Study Association X7T9Q6 IBAN: DK8789000000014387 Value date: 11/09/2025</t>
  </si>
  <si>
    <t>Name: Stripe Technology Europe Ltd Description: Study Association B2Q9W2 IBAN: DK8789000000014387 Value date: 12/09/2025</t>
  </si>
  <si>
    <r>
      <t xml:space="preserve">Name: </t>
    </r>
    <r>
      <rPr>
        <u/>
        <sz val="10"/>
        <color rgb="FF000000"/>
        <rFont val="Helvetica Neue"/>
        <family val="2"/>
      </rPr>
      <t>bol.com</t>
    </r>
    <r>
      <rPr>
        <sz val="10"/>
        <color rgb="FF000000"/>
        <rFont val="Helvetica Neue"/>
        <family val="2"/>
      </rPr>
      <t xml:space="preserve"> Description: P1590518914 7051224820068261 </t>
    </r>
    <r>
      <rPr>
        <u/>
        <sz val="10"/>
        <color rgb="FF000000"/>
        <rFont val="Helvetica Neue"/>
        <family val="2"/>
      </rPr>
      <t>bol.com</t>
    </r>
    <r>
      <rPr>
        <sz val="10"/>
        <color rgb="FF000000"/>
        <rFont val="Helvetica Neue"/>
        <family val="2"/>
      </rPr>
      <t xml:space="preserve"> A00090TRP3 IBAN: NL27INGB0000026500 Reference: 15-09-2025 16:28 7051224820068261 Value date: 15/09/2025</t>
    </r>
  </si>
  <si>
    <t>https://moneybird.com/238154821397382597/documents/468085300139131930</t>
  </si>
  <si>
    <t>Name: Stripe Technology Europe Ltd Description: Study Association A4R0N7 IBAN: DK8789000000014387 Value date: 15/09/2025</t>
  </si>
  <si>
    <t>Name: Moneybird B.V. Description: Moneybird B.V. 2025-650582 MoneyBird B.V. IBAN: NL65ADYB2006011162 Reference: RVCG573DPPXLQLX3 Mandate ID: RNVFDS4VN4LKTTX3 Creditor ID: NL48ZZZ342764500000 Recurrent SEPA direct debit Value date: 15/09/2025</t>
  </si>
  <si>
    <t>Name: Stripe Technology Europe Ltd Description: Study Association T6X9W4 IBAN: DK8789000000014387 Value date: 16/09/2025</t>
  </si>
  <si>
    <t>Name: Andrei Todasca Description: BG - Office supplies - Airtag IBAN: RO18REVO0000131888065768 Value date: 16/09/2025</t>
  </si>
  <si>
    <t>https://moneybird.com/238154821397382597/documents/465346186325264231</t>
  </si>
  <si>
    <t>Name: Alice Maffoni Description: FMW - Supplies - Games IBAN: IT35A0306234210000002514370 Value date: 16/09/2025</t>
  </si>
  <si>
    <t>https://moneybird.com/238154821397382597/documents/465280218670565065</t>
  </si>
  <si>
    <t>Name: Alice Maffoni Description: FMW - Supplies IBAN: IT35A0306234210000002514370 Value date: 16/09/2025</t>
  </si>
  <si>
    <t>https://moneybird.com/238154821397382597/documents/464918096339010939</t>
  </si>
  <si>
    <t>Name: Olaf Scheepers Description: BE - Borrel 3 - Decorations IBAN: NL08ASNB0706948270 Value date: 16/09/2025</t>
  </si>
  <si>
    <t>https://moneybird.com/238154821397382597/documents/464739620920231446</t>
  </si>
  <si>
    <t>Name: Domino s Pizza Description: AIMW - Food/Drinks IBAN: NL96ABNA0602961017 Value date: 16/09/2025</t>
  </si>
  <si>
    <t>https://moneybird.com/238154821397382597/documents/465282212474914238</t>
  </si>
  <si>
    <t>Name: Toekomst Muziek B V Description: AIMW - Location IBAN: NL66RABO0367268027 Value date: 16/09/2025</t>
  </si>
  <si>
    <t>https://moneybird.com/238154821397382597/documents/465280709521573368</t>
  </si>
  <si>
    <t>Name: Stripe Technology Europe Ltd Description: Study Association N4K8L2 IBAN: DK8789000000014387 Value date: 17/09/2025</t>
  </si>
  <si>
    <t>Name: Stripe Technology Europe Ltd Description: Study Association J2J0I9 IBAN: DK8789000000014387 Value date: 18/09/2025</t>
  </si>
  <si>
    <t>Name: Jumbo.com Description: FHWLDZSB4VHBW3R92LUT9 7180286019906552 308a1ace-7c03-4aa5-8b15-3f95d24c1fd IBAN: NL04ADYB2017400157 Reference: 19-09-2025 17:33 7180286019906552 Value date: 19/09/2025</t>
  </si>
  <si>
    <t>https://moneybird.com/238154821397382597/documents/468084664773379134</t>
  </si>
  <si>
    <t>Name: Stripe Technology Europe Ltd Description: Study Association S9Z3F3 IBAN: DK8789000000014387 Value date: 19/09/2025</t>
  </si>
  <si>
    <t>Name: PAYPAL PTE. LTD. Description: AIM IBAN: DE26512202000071418016 Reference: 249066050 Value date: 22/09/2025</t>
  </si>
  <si>
    <t>Name: Stripe Technology Europe Ltd Description: Study Association S8H5C3 IBAN: DK8789000000014387 Value date: 22/09/2025</t>
  </si>
  <si>
    <t>Name: TransIP B.V. Description: FACTUUR F0000.2509.0011.5566 IBAN: NL85INGB0654416265 Reference: E2E-ID-NL-230125695 Mandate ID: MANDATE-NL-200315305-1 Creditor ID: NL39ZZZ243458990000 Recurrent SEPA direct debit Value date: 22/09/2025</t>
  </si>
  <si>
    <t>Name: Stripe Technology Europe Ltd Description: Study Association U8O5Z9 IBAN: DK8789000000014387 Value date: 23/09/2025</t>
  </si>
  <si>
    <t>Name: Stripe Technology Europe Ltd Description: Study Association T1A8M9 IBAN: DK8789000000014387 Value date: 24/09/2025</t>
  </si>
  <si>
    <t>Name: Cafe Fest B V Description: BE - Borrels IBAN: NL23INGB0006938016 Value date: 24/09/2025</t>
  </si>
  <si>
    <t>https://moneybird.com/238154821397382597/documents/465926175320966151</t>
  </si>
  <si>
    <t>Name: De Kabel B V Description: BE - Borrels IBAN: NL04RABO0157480356 Value date: 24/09/2025</t>
  </si>
  <si>
    <t>https://moneybird.com/238154821397382597/documents/465925874402723244</t>
  </si>
  <si>
    <t>Name: Friture Vogels Description: FMW - Food - Fries IBAN: NL56RABO0129709484 Value date: 24/09/2025</t>
  </si>
  <si>
    <t>https://moneybird.com/238154821397382597/documents/465926534378554458</t>
  </si>
  <si>
    <t>Name: TRADETRACKER NED BV Description: Fact.nr.: NL2025N0011734 IBAN: NL86ABNA0627700659 Reference: NL2025N0011734 Date/time: 24-09-2025 10:46:11 Value date: 24/09/2025</t>
  </si>
  <si>
    <t>Name: Stripe Technology Europe Ltd Description: Study Association Q3U0Q6 IBAN: DK8789000000014387 Value date: 26/09/2025</t>
  </si>
  <si>
    <t>Factuurnr. 2333354330 Betreft IBAN: NL51INGB0006734394 Periode: 01-08-2025 / 31-08-2025 Value date: 26/09/2025</t>
  </si>
  <si>
    <t>Name: AUCSA Description: Borrel at De Heeren van Aemstel  AUCaf?  5.b.1 (5.c.1.1) IBAN: NL03TRIO0338581685 Reference: 20250929212520TRIONL2UXXXE000097197 Date/time: 29-09-2025 21:25:20 Value date: 29/09/2025</t>
  </si>
  <si>
    <t>Name: De Heeren van Aemstel Description: BE - Borrels IBAN: NL80ABNA0601179803 Value date: 29/09/2025</t>
  </si>
  <si>
    <t>https://moneybird.com/238154821397382597/documents/466530694031475935</t>
  </si>
  <si>
    <t>Name: Carla Gesell Description: FMW - Additional Food IBAN: DE68370501981934822980 Value date: 29/09/2025</t>
  </si>
  <si>
    <t>https://moneybird.com/238154821397382597/documents/466383038215881850</t>
  </si>
  <si>
    <t>Name: Lieve van der Stel Description: BE - Committee Presentation IBAN: NL21INGB0683908618 Value date: 29/09/2025</t>
  </si>
  <si>
    <t>https://moneybird.com/238154821397382597/documents/464748192082167669</t>
  </si>
  <si>
    <t>Name: Wesley Kraan Description: FMW - Gas IBAN: NL65SNSB0772674604 Value date: 29/09/2025</t>
  </si>
  <si>
    <t>https://moneybird.com/238154821397382597/documents/466089838750205700</t>
  </si>
  <si>
    <t>Name: Olaf Scheepers Description: BE - Borrels IBAN: NL08ASNB0706948270 Value date: 29/09/2025</t>
  </si>
  <si>
    <t>https://moneybird.com/238154821397382597/documents/466261476101850621</t>
  </si>
  <si>
    <t>Name: Winters Liessel B V Description: FMW - Drinks - 2025 IBAN: NL03RABO0129001465 Value date: 29/09/2025</t>
  </si>
  <si>
    <t>https://moneybird.com/238154821397382597/documents/466088061257647903</t>
  </si>
  <si>
    <t>Name: Jesse van Dorst Description: FMW - Food - Friday Pizza IBAN: NL38RABO0189636602 Value date: 29/09/2025</t>
  </si>
  <si>
    <t>https://moneybird.com/238154821397382597/documents/466269352894661672</t>
  </si>
  <si>
    <t>Name: Carla Gesell Description: BG - FirstAID IBAN: DE68370501981934822980 Value date: 29/09/2025</t>
  </si>
  <si>
    <t>https://moneybird.com/238154821397382597/documents/466382492371257015</t>
  </si>
  <si>
    <t>Name: Pouw Vervoer B V Description: FMW - Transportation IBAN: NL51RABO0337127875 Value date: 29/09/2025</t>
  </si>
  <si>
    <t>https://moneybird.com/238154821397382597/documents/466269552673556070</t>
  </si>
  <si>
    <t>Name: Videt Visser Description: AIMW - DJ IBAN: NL76ABNA0818921692 Value date: 29/09/2025</t>
  </si>
  <si>
    <t>https://moneybird.com/238154821397382597/documents/466538071328818412</t>
  </si>
  <si>
    <t>Name: Carla Gesell Description: BD - Park Hangout IBAN: DE68370501981934822980 Value date: 29/09/2025</t>
  </si>
  <si>
    <t>https://moneybird.com/238154821397382597/documents/466383255494460895</t>
  </si>
  <si>
    <t>To Zakelijke oranje spaarrekening L10080095 Current to Baseline (to reinstate Baseline for the new year) Value date: 29/09/2025</t>
  </si>
  <si>
    <t>https://moneybird.com/238154821397382597/documents/468085999421883748</t>
  </si>
  <si>
    <t>Name: KALLIOPPE Description: KallioPPE- Joint Borrel Invoice Payment IBAN: NL51ABNA0211182222 Date/time: 29-09-2025 11:53:55 Value date: 29/09/2025</t>
  </si>
  <si>
    <t>Name: Stripe Technology Europe Ltd Description: Study Association W8D2I6 IBAN: DK8789000000014387 Value date: 29/09/2025</t>
  </si>
  <si>
    <t>Name: Stripe Technology Europe Ltd Description: Study Association H3D7T7 IBAN: DK8789000000014387 Value date: 30/09/2025</t>
  </si>
  <si>
    <t>Name: Stripe Technology Europe Ltd Description: Study Association G7Y6M9 IBAN: DK8789000000014387 Value date: 01/10/2025</t>
  </si>
  <si>
    <t>Name: Stripe Technology Europe Ltd Description: Study Association Z9A7P7 IBAN: DK8789000000014387 Value date: 02/10/2025</t>
  </si>
  <si>
    <t>Name: Stripe Technology Europe Ltd Description: Study Association W6M8R9 IBAN: DK8789000000014387 Value date: 03/10/2025</t>
  </si>
  <si>
    <t>Johan Degel</t>
  </si>
  <si>
    <t>Name: Johan Degel Description: AIMTeam - Volleyball - Expenses IBAN: NL41INGB0101785844 Value date: 06/10/2025</t>
  </si>
  <si>
    <t>https://moneybird.com/238154821397382597/documents/466706417516021152</t>
  </si>
  <si>
    <t>Name: Soho Amsterdam B V Description: BE - Intro Party - Rental IBAN: NL87ABNA0533675243 Value date: 06/10/2025</t>
  </si>
  <si>
    <t>https://moneybird.com/238154821397382597/documents/466986381806142752</t>
  </si>
  <si>
    <t>Name: Airbnb Description: QCHMTG5TCGJ6D2Z32KNZE 7180745113496227 AIRBNB ? HM2WNZKEE2 IBAN: NL04ADYB2017400157 Reference: 06-10-2025 17:18 7180745113496227 Value date: 06/10/2025</t>
  </si>
  <si>
    <t>https://moneybird.com/238154821397382597/documents/468084207507211764</t>
  </si>
  <si>
    <t>Name: Stripe Technology Europe Ltd Description: Study Association T3N6H8 IBAN: DK8789000000014387 Value date: 06/10/2025</t>
  </si>
  <si>
    <t>Name: Stripe Technology Europe Ltd Description: Study Association Q9J6K4 IBAN: DK8789000000014387 Value date: 07/10/2025</t>
  </si>
  <si>
    <t>Name: Stripe Technology Europe Ltd Description: Study Association V5J1V0 IBAN: DK8789000000014387 Value date: 08/10/2025</t>
  </si>
  <si>
    <t>Name: Stripe Technology Europe Ltd Description: Study Association W9X8Y1 IBAN: DK8789000000014387 Value date: 09/10/2025</t>
  </si>
  <si>
    <t>Name: NS Internationaal B.V. Description: 68706767 8030884216484074 DNR: WHKVLBS IBAN: NL56DEUT0265186420 Reference: 10-10-2025 15:32 8030884216484074 Value date: 10/10/2025</t>
  </si>
  <si>
    <t>https://moneybird.com/238154821397382597/documents/468084566636103317</t>
  </si>
  <si>
    <t>Name: NS Internationaal B.V. Description: 68706573 8030805728455511 DNR: LDVGPVC IBAN: NL56DEUT0265186420 Reference: 10-10-2025 15:24 8030805728455511 Value date: 10/10/2025</t>
  </si>
  <si>
    <t>https://moneybird.com/238154821397382597/documents/468084397425296633</t>
  </si>
  <si>
    <t>Name: Johan Degel Description: AIMTeam - Volleyball - Expenses 2 IBAN: NL41INGB0101785844 Value date: 10/10/2025</t>
  </si>
  <si>
    <t>https://moneybird.com/238154821397382597/documents/466986195174294692</t>
  </si>
  <si>
    <t>Name: Studievereniging Mercurius Description: Invoice for Glow in the Dark Party IBAN: NL73RABO0393851818 Date/time: 13-10-2025 15:08:23 Value date: 13/10/2025</t>
  </si>
  <si>
    <t>https://moneybird.com/238154821397382597/documents/468085890725447204</t>
  </si>
  <si>
    <t>https://moneybird.com/238154821397382597/documents/467533994885383249</t>
  </si>
  <si>
    <t>Name: Armani AV Description: BE - Intro Party - DJ IBAN: NL55KNAB0776642219 Value date: 14/10/2025</t>
  </si>
  <si>
    <t>https://moneybird.com/238154821397382597/documents/467533523239045007</t>
  </si>
  <si>
    <t>https://moneybird.com/238154821397382597/documents/468070024390641407</t>
  </si>
  <si>
    <t>Name: Moneybird B.V. Description: Moneybird B.V. 2025-730740 MoneyBird B.V. IBAN: NL65ADYB2006011162 Reference: MQZP32ZF4ZXHD6G3 Mandate ID: RNVFDS4VN4LKTTX3 Creditor ID: NL48ZZZ342764500000 Recurrent SEPA direct debit Value date: 14/10/2025</t>
  </si>
  <si>
    <t>Inleg</t>
  </si>
  <si>
    <t xml:space="preserve">Kostensoort </t>
  </si>
  <si>
    <t>Payment Date</t>
  </si>
  <si>
    <t>Transaction Date</t>
  </si>
  <si>
    <t>Payout Date</t>
  </si>
  <si>
    <t>Customer Name</t>
  </si>
  <si>
    <t>Cardholder Name</t>
  </si>
  <si>
    <t>Type</t>
  </si>
  <si>
    <t>Status</t>
  </si>
  <si>
    <t>Amount</t>
  </si>
  <si>
    <t>Processing Fee</t>
  </si>
  <si>
    <t>Net Amount</t>
  </si>
  <si>
    <t>Payment ID</t>
  </si>
  <si>
    <t>Transaction ID</t>
  </si>
  <si>
    <t>Payout ID</t>
  </si>
  <si>
    <t>Order #</t>
  </si>
  <si>
    <t>Frederique Soblik</t>
  </si>
  <si>
    <t>Paid Out</t>
  </si>
  <si>
    <t>€6.66</t>
  </si>
  <si>
    <t>€0.58</t>
  </si>
  <si>
    <t>€6.08</t>
  </si>
  <si>
    <t>f2b72eb9-c299-464f-b03b-7062ac75453f</t>
  </si>
  <si>
    <t>Credit/Debit Cards</t>
  </si>
  <si>
    <t>a84543e3-685b-4cc7-a07f-e75565c3ab6a</t>
  </si>
  <si>
    <t>36c96bc4-bc34-4782-8712-0bb9c0e69159</t>
  </si>
  <si>
    <t>N/A</t>
  </si>
  <si>
    <t>€0.62</t>
  </si>
  <si>
    <t>€6.04</t>
  </si>
  <si>
    <t>55cf5b20-95e4-446d-9fc4-8199bbbbca94</t>
  </si>
  <si>
    <t>iDeal</t>
  </si>
  <si>
    <t>5a7c2721-9237-4505-8d65-5cd14ff12ebc</t>
  </si>
  <si>
    <t>0c074868-44f2-4359-a26a-39093fdccb31</t>
  </si>
  <si>
    <t>99429f75-b3ca-4438-9366-d87702cacf33</t>
  </si>
  <si>
    <t>7cc20cce-d2cf-4cb5-bce5-66341eea0698</t>
  </si>
  <si>
    <t>Apple Pay</t>
  </si>
  <si>
    <t>a52cc787-8c6e-4fb3-95b2-5334dc703767</t>
  </si>
  <si>
    <t>0e2412a0-a4ee-4ff5-af0f-5779b486cc68</t>
  </si>
  <si>
    <t>aa9f3030-c5a4-462a-812a-e161e0fb9682</t>
  </si>
  <si>
    <t>Luciana Portugal</t>
  </si>
  <si>
    <t>e37d35b5-8e8d-446e-82f3-c1ae4e39f276</t>
  </si>
  <si>
    <t>c1cd8ef1-0526-436e-a341-1f81e32d1e9a</t>
  </si>
  <si>
    <t>338f18bd-f56f-46fa-9927-17e627a94029</t>
  </si>
  <si>
    <t>4fc17d0a-729d-4cf0-96c9-5c486cb0860f</t>
  </si>
  <si>
    <t>cb94ee7a-0deb-4926-bbb4-91c0763f9ad3</t>
  </si>
  <si>
    <t>ecb5b699-21e7-4096-ba59-0d9d4f318e9b</t>
  </si>
  <si>
    <t>57ad5207-4a62-489a-85b3-09cba46f6449</t>
  </si>
  <si>
    <t>b655b1d5-6260-49f0-b1ef-053236dcc650</t>
  </si>
  <si>
    <t>51d75591-8b9b-4559-a6a2-c18e435c9112</t>
  </si>
  <si>
    <t>b51d4204-1713-41c7-8837-abbf14282628</t>
  </si>
  <si>
    <t>2214ea43-d9ee-4030-a4ae-d53eb6a30b85</t>
  </si>
  <si>
    <t>bffe079c-65e5-4405-b54c-efb2cfbcdf7d</t>
  </si>
  <si>
    <t>023058ec-44aa-46dc-947c-08b0c7078491</t>
  </si>
  <si>
    <t>b34baf71-9f98-4d18-8bd2-d13bdbe42314</t>
  </si>
  <si>
    <t>79717475-f9e0-4c26-aa32-871cd127689a</t>
  </si>
  <si>
    <t>b7ff9165-4c11-4e7c-a18a-e1ee6ca4e1b7</t>
  </si>
  <si>
    <t>be5f394e-d2c0-4ed4-8660-79e126543393</t>
  </si>
  <si>
    <t>f2487177-f26a-49da-9741-4faeb4e151bb</t>
  </si>
  <si>
    <t>6fb53d70-7d81-43c7-9129-359018a94186</t>
  </si>
  <si>
    <t>9949b3eb-988a-4f1d-b134-6d4bd755cd09</t>
  </si>
  <si>
    <t>74d0f7e2-8b16-4bb2-bde9-7137170accc9</t>
  </si>
  <si>
    <t>3519515c-f844-4684-afca-b1f5047e87ac</t>
  </si>
  <si>
    <t>d87045d9-3a2e-4e1c-92d8-8f6693fc7b7b</t>
  </si>
  <si>
    <t>ea00a2ce-1d63-4690-872d-4db2bd970112</t>
  </si>
  <si>
    <t>2c427d58-0ce6-4522-9c64-4c41fc31e359</t>
  </si>
  <si>
    <t>d41afc02-9b35-4ef3-a642-df3ad343584b</t>
  </si>
  <si>
    <t>fca7b768-3fad-4e71-b33e-e05ba5b324a8</t>
  </si>
  <si>
    <t>88fa0f39-24f7-41b2-847b-ec75ae14153d</t>
  </si>
  <si>
    <t>efd18a35-2068-4e1e-85a6-c6ac8fea00e6</t>
  </si>
  <si>
    <t>239a4dd2-aa71-4880-9356-890756ae14af</t>
  </si>
  <si>
    <t>0d7ca675-f3af-4c93-80ea-33ff4c92af40</t>
  </si>
  <si>
    <t>56813638-f65f-4c6d-846e-d0077f078aae</t>
  </si>
  <si>
    <t>77359497-c915-410e-8f87-7be1ea3e3b82</t>
  </si>
  <si>
    <t>deb512f1-14ab-43f4-a9ae-19a5209302ee</t>
  </si>
  <si>
    <t>0a59beb5-518e-4344-94a7-8507293e10b1</t>
  </si>
  <si>
    <t>32a81696-7dde-4959-a61f-7f8165811898</t>
  </si>
  <si>
    <t>aabf097c-1525-469d-94fb-ddef9e40fe68</t>
  </si>
  <si>
    <t>532f7f44-8d20-436c-bc86-b50d91694c87</t>
  </si>
  <si>
    <t>981f0bb7-3318-4e7e-952f-a3f3f36768eb</t>
  </si>
  <si>
    <t>98dbdab4-1e02-4111-97fc-d980429bec27</t>
  </si>
  <si>
    <t>3012f5cb-9937-44e3-a459-74e6d0b28f3b</t>
  </si>
  <si>
    <t>c6f183fa-288c-4b2f-a9e5-4da15fd00d3e</t>
  </si>
  <si>
    <t>11800235-edb7-47a8-8820-b90a882afd87</t>
  </si>
  <si>
    <t>7f95c9c8-325c-45c2-9695-eef6298cc47c</t>
  </si>
  <si>
    <t>Mila Pema Knoche</t>
  </si>
  <si>
    <t>cf3f7377-b7d2-41ee-9797-3d23d2e16a3d</t>
  </si>
  <si>
    <t>328dcd5e-2cae-409e-a3b6-fecf12bda08a</t>
  </si>
  <si>
    <t>8316cbe9-8c81-4e7d-a2eb-0c084c4e03b6</t>
  </si>
  <si>
    <t>05c16887-94da-4d60-a916-44e8d65d6b03</t>
  </si>
  <si>
    <t>€8.71</t>
  </si>
  <si>
    <t>€0.72</t>
  </si>
  <si>
    <t>€7.99</t>
  </si>
  <si>
    <t>ba08c753-ac6a-4055-8c60-47dc5f884715</t>
  </si>
  <si>
    <t>e50fa376-bd8a-4095-b901-86a5495809d7</t>
  </si>
  <si>
    <t>40a957ab-8b1a-4cfe-a981-a76e8b7418e8</t>
  </si>
  <si>
    <t>e7a8e169-84ce-401f-adc2-68e8b3695829</t>
  </si>
  <si>
    <t>6ce1cb59-90f5-4b70-aa03-bfc7adf6ab8f</t>
  </si>
  <si>
    <t>467d9bd0-b1f8-479e-8d99-5313e3539a80</t>
  </si>
  <si>
    <t>3723aa3a-8969-4030-b4f9-fb7f8dc7825a</t>
  </si>
  <si>
    <t>2f2250e6-0485-4bf2-ae6d-9aeaa8b4190f</t>
  </si>
  <si>
    <t>0e2e9af6-4d6e-4949-b360-f3ddae096060</t>
  </si>
  <si>
    <t>0135d310-6c76-462d-966c-103cbaa92c78</t>
  </si>
  <si>
    <t>ea7058c3-71c7-4056-90d3-aa175f1cba83</t>
  </si>
  <si>
    <t>fc95f681-531c-4a49-9523-355409787a8d</t>
  </si>
  <si>
    <t>2ef2cea6-0511-4757-8284-a8cdaeb980b3</t>
  </si>
  <si>
    <t>3de8ded2-df98-4f9d-828f-b577a9335d2b</t>
  </si>
  <si>
    <t>€15.37</t>
  </si>
  <si>
    <t>€1.05</t>
  </si>
  <si>
    <t>€14.32</t>
  </si>
  <si>
    <t>cbb33778-2d7a-4425-8a90-37007ec912c5</t>
  </si>
  <si>
    <t>d150edcc-78af-4fa9-822c-e613385e9d4b</t>
  </si>
  <si>
    <t>49cd797b-1c33-407d-b639-c0448e3a7545</t>
  </si>
  <si>
    <t>642bfc89-f62c-44dd-bffc-a6876409d079</t>
  </si>
  <si>
    <t>73ce53ee-caa0-447b-b546-d8847e284b6c</t>
  </si>
  <si>
    <t>b34ff275-d5d5-44e2-9b03-5f53090cad84</t>
  </si>
  <si>
    <t>04c90102-f6d0-41c3-9462-3c78532d55cc</t>
  </si>
  <si>
    <t>70cc2ec8-7507-4d42-8b81-e6cd2fc14fcc</t>
  </si>
  <si>
    <t>€17.42</t>
  </si>
  <si>
    <t>€1.04</t>
  </si>
  <si>
    <t>€16.38</t>
  </si>
  <si>
    <t>46518b0c-7edf-4799-b4db-8a6729046362</t>
  </si>
  <si>
    <t>eb787140-6df0-48a4-ae94-0f4f3ca47245</t>
  </si>
  <si>
    <t>e51f6e84-0559-4e5b-bec7-266b8f10cfe6</t>
  </si>
  <si>
    <t>2d6fb324-4691-4072-93fe-8f82b26fa5a5</t>
  </si>
  <si>
    <t>a16aca5c-fe8f-45e1-b509-411dab407b80</t>
  </si>
  <si>
    <t>f82e5c36-efc0-41c9-9138-3ece7162eb09</t>
  </si>
  <si>
    <t>f35d3cbf-486b-4716-8145-c83ad6419520</t>
  </si>
  <si>
    <t>67e752e2-9e9f-47fa-a7e6-c1691174545d</t>
  </si>
  <si>
    <t>7c5ef299-88f4-40bc-af64-0db436333bc4</t>
  </si>
  <si>
    <t>Dora Eszter Gnadig</t>
  </si>
  <si>
    <t>4e55f7ab-a196-4bf3-8bff-3afbc31f5b86</t>
  </si>
  <si>
    <t>7499c7e9-b5b0-4d8a-8892-82e7b43ed1af</t>
  </si>
  <si>
    <t>Greta Butkeviciute</t>
  </si>
  <si>
    <t>0222694f-a97d-476e-93f7-f6b865041b5f</t>
  </si>
  <si>
    <t>5eafe8be-9699-4d58-b076-d423190081ae</t>
  </si>
  <si>
    <t>Saule Svidenyte</t>
  </si>
  <si>
    <t>82f5c296-98cc-4520-8e63-16fb74b18fce</t>
  </si>
  <si>
    <t>b200021d-6b31-4a8f-87c4-1e861c281091</t>
  </si>
  <si>
    <t>Dominika Rokosz</t>
  </si>
  <si>
    <t>2aa4b11d-87e4-4961-b968-9e19528183fe</t>
  </si>
  <si>
    <t>b5af62c9-5d16-4958-983a-b9577f756346</t>
  </si>
  <si>
    <t>2f5c8279-f600-4129-9e86-005abf9e4998</t>
  </si>
  <si>
    <t>89e2b19b-df3c-426f-9f2e-a365118d1ae3</t>
  </si>
  <si>
    <t>€0.67</t>
  </si>
  <si>
    <t>€8.04</t>
  </si>
  <si>
    <t>bcd69407-ead9-413e-8bf7-6221e91fed52</t>
  </si>
  <si>
    <t>172fd09e-cd05-4131-9c5f-09ced1754486</t>
  </si>
  <si>
    <t>Dr. Jens Ortmanns</t>
  </si>
  <si>
    <t>131e0703-1dad-4eaf-bbcd-35beb69498e7</t>
  </si>
  <si>
    <t>54c9eeab-c4b4-4ce9-80ea-c323537e1806</t>
  </si>
  <si>
    <t>63cecb03-51af-4a7f-ba9d-ea92893c9ade</t>
  </si>
  <si>
    <t>1b3f99f8-a983-470b-a083-b8f4f1ead03c</t>
  </si>
  <si>
    <t>ff6fe578-4cc5-4a9d-a3d4-4be6fcfc55ac</t>
  </si>
  <si>
    <t>77bc66f9-0e12-4d2a-b881-8da6dc42ca8a</t>
  </si>
  <si>
    <t>Isabella Carrel Tosovic</t>
  </si>
  <si>
    <t>d3a1381f-c806-4627-8a06-f376ba01bd84</t>
  </si>
  <si>
    <t>43278fa7-0bea-416c-8e12-94e062ca0495</t>
  </si>
  <si>
    <t>Moritz Ries </t>
  </si>
  <si>
    <t>09a54591-7dff-471d-a2c2-aca5ca7daadc</t>
  </si>
  <si>
    <t>47c7f0d1-1e69-4165-8428-acb33f548886</t>
  </si>
  <si>
    <t>83fdc169-ff6c-4acd-8707-e8a1b9a290d9</t>
  </si>
  <si>
    <t>8e9b4394-f75e-43d7-8e24-dcd15818fea3</t>
  </si>
  <si>
    <t>db94de6c-698c-4cb5-9647-c2a3ee2ecef6</t>
  </si>
  <si>
    <t>f215251a-17e2-43c0-9581-f8eb9f669fda</t>
  </si>
  <si>
    <t>fd52e357-e5c7-40c8-8750-11d01f1b138a</t>
  </si>
  <si>
    <t>4518379e-fee9-48fd-863e-9a7fe4c48ea7</t>
  </si>
  <si>
    <t>6a746593-8fd7-4d0a-8571-ecea95472926</t>
  </si>
  <si>
    <t>7b15a1b4-e66b-4191-889c-3d0cb9b58158</t>
  </si>
  <si>
    <t>5b6c2765-293b-41ca-a5d1-77cec547f6b9</t>
  </si>
  <si>
    <t>0fc4a92d-6876-4247-8649-21f351aecb21</t>
  </si>
  <si>
    <t>a6723ee6-f230-48cf-8ee1-46b088960622</t>
  </si>
  <si>
    <t>20dadc5c-f760-4fe6-90fa-b918a5039b7b</t>
  </si>
  <si>
    <t>0af8b651-6867-461f-90bb-54ce852a46bd</t>
  </si>
  <si>
    <t>44d1ea1d-2773-4509-a8c3-107706a7aa66</t>
  </si>
  <si>
    <t>07f776be-9e98-42ce-aaf5-2b7a8e9da767</t>
  </si>
  <si>
    <t>fa86c9a0-4e2d-4100-bfe8-cd391ae043c6</t>
  </si>
  <si>
    <t>3b8178df-2e46-4ba2-a63f-e7771042a4e5</t>
  </si>
  <si>
    <t>5599e095-2142-4586-8e7a-49477c3a59b7</t>
  </si>
  <si>
    <t>f41b3aac-e257-49aa-9391-fc3ee33555ac</t>
  </si>
  <si>
    <t>€58.00</t>
  </si>
  <si>
    <t>€1.75</t>
  </si>
  <si>
    <t>€56.25</t>
  </si>
  <si>
    <t>d411f1b9-616c-49b6-aec7-b7b7db61aa3e</t>
  </si>
  <si>
    <t>9c8a8965-1306-421d-a2f0-4ba12543dc54</t>
  </si>
  <si>
    <t>dd7bc2d4-6a89-4bfc-825e-c42a06e534c3</t>
  </si>
  <si>
    <t>ca3f783c-a64c-462a-b193-4fdd5c26b709</t>
  </si>
  <si>
    <t>a59bba5d-4286-45ec-a7aa-ee91a6885656</t>
  </si>
  <si>
    <t>2dbfa476-b67a-481b-8326-193e8d61ab8a</t>
  </si>
  <si>
    <t>Manon Drion</t>
  </si>
  <si>
    <t>e672aac7-8a66-45bf-8106-00370b51a08a</t>
  </si>
  <si>
    <t>90e6bca3-be6c-4069-84df-8935beeea6fd</t>
  </si>
  <si>
    <t>ee20fb64-aad2-4d8f-ab22-eac10f8a7f3e</t>
  </si>
  <si>
    <t>b4c09202-242d-4b37-953b-c44e95bc7951</t>
  </si>
  <si>
    <t>Sami Ballafkir</t>
  </si>
  <si>
    <t>23d5d9d9-fc04-431d-b6ac-273b881d76a4</t>
  </si>
  <si>
    <t>6d06212c-4c28-4b68-9eff-341fad5c1616</t>
  </si>
  <si>
    <t>ed2347be-1985-4acc-9e2a-33e4823481c1</t>
  </si>
  <si>
    <t>4662b907-0ad7-46f6-8936-ed8658606275</t>
  </si>
  <si>
    <t>ac0d229f-c400-48fc-90e8-0ce4bfc136b7</t>
  </si>
  <si>
    <t>ba3c3587-5cc9-474e-9d9d-b8a29565f852</t>
  </si>
  <si>
    <t>1cd9aef7-dcf2-4b22-bb62-1ddf506e361c</t>
  </si>
  <si>
    <t>5fc06381-b5bd-45c5-be6f-8573076c6d84</t>
  </si>
  <si>
    <t>ebbc1797-a5c6-4473-8efc-fb11f34267f3</t>
  </si>
  <si>
    <t>8fbc1853-8fce-49e8-af60-d929fdc4f81d</t>
  </si>
  <si>
    <t>636ab171-6f56-4d92-b6e6-a473bddaacd8</t>
  </si>
  <si>
    <t>a8519566-d312-4c75-a313-2987899fa7fa</t>
  </si>
  <si>
    <t>37881d75-7023-4e6f-8458-a40fbced862c</t>
  </si>
  <si>
    <t>08e8f912-b322-4193-b132-80cf1c906ef1</t>
  </si>
  <si>
    <t>Glória Nóbrega </t>
  </si>
  <si>
    <t>176c3ffa-ca1f-4286-9ded-b6d012388678</t>
  </si>
  <si>
    <t>e00a79c6-40b6-4a1e-8bf2-0d21d20bbab4</t>
  </si>
  <si>
    <t>18e9394b-cc42-418c-84db-a7980cded970</t>
  </si>
  <si>
    <t>6eea229e-3f25-42b1-a9e4-ad196419bec7</t>
  </si>
  <si>
    <t>801e082e-21d5-44fa-ac6b-b4449115d75f</t>
  </si>
  <si>
    <t>f632f8fa-504d-4bde-906f-43b3430956fd</t>
  </si>
  <si>
    <t>12cc50bf-400d-4573-9788-a19f002282e2</t>
  </si>
  <si>
    <t>C.Z. van der Neut</t>
  </si>
  <si>
    <t>881948b3-c697-47df-bb4a-7c80cbddefa2</t>
  </si>
  <si>
    <t>35bbd1ac-b968-4cfe-9ef9-772511841299</t>
  </si>
  <si>
    <t>d46fcf74-b99a-4cf6-bb0b-4c16d9a7d621</t>
  </si>
  <si>
    <t>51e77f6e-1808-413f-b756-dc850d4df496</t>
  </si>
  <si>
    <t>Hannah Back</t>
  </si>
  <si>
    <t>35b13667-fe5e-418e-90f5-e82ac235a56b</t>
  </si>
  <si>
    <t>a7e6cfb6-b97e-4a19-abb5-47f7aac726c7</t>
  </si>
  <si>
    <t>2452d0f7-567b-4f26-b06b-0c5e98c3f918</t>
  </si>
  <si>
    <t>45546b06-abc9-4c6e-adb5-b920fb49880e</t>
  </si>
  <si>
    <t>d793ba65-7e2f-44ae-89b2-3eb5b6b2deae</t>
  </si>
  <si>
    <t>06db78e7-c626-4774-9581-23571e0af219</t>
  </si>
  <si>
    <t>bf4eb368-e340-46b6-911b-4c6687a45a7d</t>
  </si>
  <si>
    <t>f13345d4-d6da-48ef-b896-6e17a19c6e5c</t>
  </si>
  <si>
    <t>Emma Lena Elisabeth Weiss</t>
  </si>
  <si>
    <t>€0.96</t>
  </si>
  <si>
    <t>€14.41</t>
  </si>
  <si>
    <t>a2fee8a0-df41-4e1a-911f-9fab41518058</t>
  </si>
  <si>
    <t>9539e7ab-c215-4680-a773-0f8e0f886b2c</t>
  </si>
  <si>
    <t>NICOLAS PERRIN</t>
  </si>
  <si>
    <t>41c52780-8e4c-4bd2-92a3-67e8d1c36ea1</t>
  </si>
  <si>
    <t>61a81d85-88c0-47d1-9d4f-7d79709b2bfe</t>
  </si>
  <si>
    <t>Enya Berninger</t>
  </si>
  <si>
    <t>cc3667fe-3677-4541-adf8-f910e58584d3</t>
  </si>
  <si>
    <t>08c99521-f105-43e5-9a64-00d9167a967b</t>
  </si>
  <si>
    <t>6d774b3b-4618-483d-b7a8-bf9ac4005ee5</t>
  </si>
  <si>
    <t>Sophia Bitner</t>
  </si>
  <si>
    <t>a53cc88f-bb07-432a-8a99-4cee527516e4</t>
  </si>
  <si>
    <t>a2bc09b4-12fb-4722-8066-5e2dd94d5af1</t>
  </si>
  <si>
    <t>Adrian Max Hensel</t>
  </si>
  <si>
    <t>c6afdbe6-c188-48bd-b806-fcac8b62e2b6</t>
  </si>
  <si>
    <t>3cbc5cb8-a1d7-416c-85cf-d672b881f888</t>
  </si>
  <si>
    <t>Stella Kratzer</t>
  </si>
  <si>
    <t>Stella Carlotta Kratzer</t>
  </si>
  <si>
    <t>4895e104-7edd-4fdc-b0f5-0a936ecbf27e</t>
  </si>
  <si>
    <t>212eda87-d941-4318-a2db-01dc645bf9b1</t>
  </si>
  <si>
    <t>ee57818d-b942-4253-9f58-cdb9a59e5899</t>
  </si>
  <si>
    <t>95a46402-6e33-4f22-bae4-f0152f2789a3</t>
  </si>
  <si>
    <t>Alessandro Riccio</t>
  </si>
  <si>
    <t>4c818343-946d-4499-9fb0-e4b5fafde731</t>
  </si>
  <si>
    <t>e6dbf601-f86b-4bf8-9af3-987607f857f7</t>
  </si>
  <si>
    <t>8baf0c6f-3205-4e9c-a147-c62f34263c93</t>
  </si>
  <si>
    <t>daeac9bf-3f8e-47a4-a053-9747b612cfd6</t>
  </si>
  <si>
    <t>9eae70ba-7928-455b-9d2e-320df2bae6dc</t>
  </si>
  <si>
    <t>e9826c26-26e6-4796-92fd-67621d89b37b</t>
  </si>
  <si>
    <t>Ece Baysa</t>
  </si>
  <si>
    <t>4286999e-6c7c-4dc0-9c14-cfaf66456ada</t>
  </si>
  <si>
    <t>0c50e073-3a47-49b7-bf0b-9b3c5ac0295f</t>
  </si>
  <si>
    <t>Niels Meyer Frandsen</t>
  </si>
  <si>
    <t>8e0add4c-c871-4c5e-9dba-f381cca8a87e</t>
  </si>
  <si>
    <t>d6367823-5768-40ee-a28f-57f382aed5bd</t>
  </si>
  <si>
    <t>ceb44825-270a-417d-b244-443942e996a6</t>
  </si>
  <si>
    <t>1c007357-ca36-438e-b964-9281587b1e98</t>
  </si>
  <si>
    <t>afa34018-6dd2-47d5-bb12-c19bac01ed71</t>
  </si>
  <si>
    <t>POPESCU MARA</t>
  </si>
  <si>
    <t>7100fb05-a95e-4c26-a8f2-1100386f00ba</t>
  </si>
  <si>
    <t>4fbea2c5-3573-4eb1-bce5-5734b225f1db</t>
  </si>
  <si>
    <t>7a5a0995-a4ad-43bf-8045-f12a0131fc32</t>
  </si>
  <si>
    <t>dbba5acb-9e87-4aee-afc3-8fc3417a5822</t>
  </si>
  <si>
    <t>Kyle Davidson</t>
  </si>
  <si>
    <t>€0.77</t>
  </si>
  <si>
    <t>€7.94</t>
  </si>
  <si>
    <t>cbfe778e-8df6-4329-b054-9527a9392d05</t>
  </si>
  <si>
    <t>37fc4d23-f5ee-4da2-bab5-c4bcea474161</t>
  </si>
  <si>
    <t>5b3e58cf-90c9-46d5-b0df-dc6a221af76a</t>
  </si>
  <si>
    <t>b4e51619-5165-4e88-a09d-2e6e753a2883</t>
  </si>
  <si>
    <t>4e129314-4028-4c70-9bae-8282e6574b2b</t>
  </si>
  <si>
    <t>66210cf5-c2dc-4217-bf96-6a69625e583a</t>
  </si>
  <si>
    <t>17ce0349-7351-47a9-916f-30d719b58b8c</t>
  </si>
  <si>
    <t>42890658-355c-4a76-aaf8-b3c8e2cc59fd</t>
  </si>
  <si>
    <t>cbd5dbe0-d6e1-4d92-bf19-47e22133a43b</t>
  </si>
  <si>
    <t>Emma Reali</t>
  </si>
  <si>
    <t>2317cdcc-2897-4b05-a28a-fe6d40e94054</t>
  </si>
  <si>
    <t>02dbbd47-23dc-4dc6-83db-61236bd24aef</t>
  </si>
  <si>
    <t>363e7abc-7b51-4bce-860e-112c6e2b55e6</t>
  </si>
  <si>
    <t>f98e51f6-b8e2-4138-a5a1-743733dfc6de</t>
  </si>
  <si>
    <t>7a8b1082-9f90-4537-a618-42d2e4032382</t>
  </si>
  <si>
    <t>42607bd4-8b8e-4af9-b709-c1e1b7301519</t>
  </si>
  <si>
    <t>4c489b65-cf83-4877-b47a-53de52406b91</t>
  </si>
  <si>
    <t>8a5188e5-7bfd-4ebe-ab19-b3201340d264</t>
  </si>
  <si>
    <t>Lorenz Weidner</t>
  </si>
  <si>
    <t>14fed7f2-59cd-41ec-bd97-f0da09b794d6</t>
  </si>
  <si>
    <t>6155db69-c2fc-4b30-9556-efc5c222036d</t>
  </si>
  <si>
    <t>179ba886-ee5d-4e64-8c6a-e91fdff5bac3</t>
  </si>
  <si>
    <t>33eaecbe-59c9-4139-8329-d391e6237e5a</t>
  </si>
  <si>
    <t>Serjii Chaika</t>
  </si>
  <si>
    <t>4615c8b6-5f6b-4302-86c3-30332e93ac6d</t>
  </si>
  <si>
    <t>78941e88-39ac-4bba-a6e1-3405711fe08f</t>
  </si>
  <si>
    <t>05ef84be-e155-45a8-a3d6-cffda76ec466</t>
  </si>
  <si>
    <t>a6fdc755-5412-45ed-9240-3b95ecf21fea</t>
  </si>
  <si>
    <t>e81dcd21-5af8-46b5-9636-d908321bbab5</t>
  </si>
  <si>
    <t>46e7724b-2d51-4c0a-b2ff-e67dfff11fb3</t>
  </si>
  <si>
    <t>135e6ace-0120-45ab-91b3-d0234d26ccf4</t>
  </si>
  <si>
    <t>cc4fb015-6c41-40a0-850c-3818089288ae</t>
  </si>
  <si>
    <t>cea6955a-3403-4cad-a709-ff06c12a5bd2</t>
  </si>
  <si>
    <t>e1dd69c4-45ec-4a67-abde-0c5b0bd8a0c4</t>
  </si>
  <si>
    <t>2a1280ca-5200-482e-a5aa-5b0ffeec5105</t>
  </si>
  <si>
    <t>f6e6500d-e68f-4994-8361-2ffb42947abb</t>
  </si>
  <si>
    <t>435b9023-05b6-44de-9a5f-c5887274a90f</t>
  </si>
  <si>
    <t>581d5ad7-764a-44be-8990-cb9d1662d9e2</t>
  </si>
  <si>
    <t>Beniamin Mlodzianowski</t>
  </si>
  <si>
    <t>281bc621-43ea-4390-bb29-f04ea236db51</t>
  </si>
  <si>
    <t>88c9dd40-bb6f-42a7-bc94-80533d732980</t>
  </si>
  <si>
    <t>7fe93a6c-8286-4c9f-b51b-53e0f6dc66c9</t>
  </si>
  <si>
    <t>Nora Brandes</t>
  </si>
  <si>
    <t>Nora Brandes </t>
  </si>
  <si>
    <t>4c9b1c8d-d7c2-4392-a05b-932a3d71e286</t>
  </si>
  <si>
    <t>6732de0c-cbcd-4d2d-a25a-7b01a9f6ce8b</t>
  </si>
  <si>
    <t>Hermann Pfeiffer</t>
  </si>
  <si>
    <t>99575e73-4800-4336-85ec-ebdb1f6fe330</t>
  </si>
  <si>
    <t>ba4630d9-1be0-4c20-92c5-756e71820bf3</t>
  </si>
  <si>
    <t>b1e13f31-c963-4597-81c8-440de0ddcd90</t>
  </si>
  <si>
    <t>80b3bb20-69fb-49b2-8a81-82768b2d3515</t>
  </si>
  <si>
    <t>8f2f85f2-f36a-44bc-b555-a0c4e89fb670</t>
  </si>
  <si>
    <t>75a53bc7-2e44-4bcb-bbf2-2ccc7a32501c</t>
  </si>
  <si>
    <t>€43.55</t>
  </si>
  <si>
    <t>€2.16</t>
  </si>
  <si>
    <t>€41.39</t>
  </si>
  <si>
    <t>6c83c049-3b63-42f8-863f-7f65d716cfa3</t>
  </si>
  <si>
    <t>41850822-69be-4ab5-a495-43dcee4f06c7</t>
  </si>
  <si>
    <t>Klára Faltusová</t>
  </si>
  <si>
    <t>feeb1480-866d-4d3c-9b30-6168e6838f14</t>
  </si>
  <si>
    <t>919574b7-e46d-43d2-ad83-021ade6291e5</t>
  </si>
  <si>
    <t>Federica Dressino</t>
  </si>
  <si>
    <t>b00d056f-be23-4ea8-a106-2a282c33ca3e</t>
  </si>
  <si>
    <t>c670a4b9-fa42-4810-963b-4117af74a99e</t>
  </si>
  <si>
    <t>303eb849-2068-47ce-80ad-cfae29b70c07</t>
  </si>
  <si>
    <t>6ea9ccb0-74b6-4e43-8899-b52a71fc24fa</t>
  </si>
  <si>
    <t>593e6d1e-279b-4ec2-a302-90d453f5a6d5</t>
  </si>
  <si>
    <t>b58032a0-1424-4f79-a807-412eb29c596d</t>
  </si>
  <si>
    <t>fbefac60-4d9c-4190-89d6-b73c481eed5b</t>
  </si>
  <si>
    <t>91754cc1-45e6-4c5a-a493-23dd19b07d95</t>
  </si>
  <si>
    <t>Ema Derganc</t>
  </si>
  <si>
    <t>9a0ce442-31e4-4b3b-abe2-2cda8a265eb1</t>
  </si>
  <si>
    <t>d30ad625-e575-4662-86d8-c327fb8d742d</t>
  </si>
  <si>
    <t>25709da9-5dbd-4708-aefb-dfcd8496a505</t>
  </si>
  <si>
    <t>5e89e6d4-05c6-45cd-9737-35312aafd339</t>
  </si>
  <si>
    <t>Ella Ausems</t>
  </si>
  <si>
    <t>d89a0a78-dd9d-4faa-9f15-9d66f8c56b47</t>
  </si>
  <si>
    <t>8a56d5bd-11b8-4f4b-9c3d-5346bfd2d369</t>
  </si>
  <si>
    <t>b3593191-a0b9-4080-b33c-7bd76ace5482</t>
  </si>
  <si>
    <t>5a0c6dfd-addc-4e9a-9c72-b86922a53e99</t>
  </si>
  <si>
    <t>bcffaf5e-63d1-46a6-a30f-cc5b1dcc3c5d</t>
  </si>
  <si>
    <t>cc2383cd-5099-46cc-823c-f0fbd3962b09</t>
  </si>
  <si>
    <t>1a325f8d-d043-4051-ac62-a9a537288ec7</t>
  </si>
  <si>
    <t>5e6c4b9f-8e33-4e6d-8b16-c261f3e3e575</t>
  </si>
  <si>
    <t>a92cbc9b-7f46-4ac6-a2c6-4379e1205921</t>
  </si>
  <si>
    <t>4d123391-f68a-418b-8a39-7ef82570017a</t>
  </si>
  <si>
    <t>Ducaru Matei Nicolae</t>
  </si>
  <si>
    <t>9f219d80-63f5-47d0-9951-ee4499f950a7</t>
  </si>
  <si>
    <t>dd7d7ac3-04ed-44a8-84dc-36f1c57908c4</t>
  </si>
  <si>
    <t>Maya Morcan</t>
  </si>
  <si>
    <t>ce629f1b-ba39-4cb4-b3bb-1c0f2f23cdca</t>
  </si>
  <si>
    <t>e7a7ce89-594e-4d97-b2c4-c8e1c10b001b</t>
  </si>
  <si>
    <t>49459b1e-e040-4af6-a373-eed2252d9f8d</t>
  </si>
  <si>
    <t>148f8df4-2ec0-45c2-95cd-6df8632c9c8e</t>
  </si>
  <si>
    <t>Anna-Simona Popova</t>
  </si>
  <si>
    <t>b9a76f1f-f219-4b3b-b62f-0816f883cbb2</t>
  </si>
  <si>
    <t>82ca86ce-5653-4afe-bf9a-9720ed8b692a</t>
  </si>
  <si>
    <t>6b0bfe01-2e6e-4129-b11e-80003d9919d4</t>
  </si>
  <si>
    <t>e4b63b68-a831-4bd8-8b04-c521aba00dd5</t>
  </si>
  <si>
    <t>e5bf55b9-31cb-490d-a6f9-5fc4011960ea</t>
  </si>
  <si>
    <t>8d46212b-ed13-489b-b070-fd43f9143a40</t>
  </si>
  <si>
    <t>9de3aacd-c90f-4e98-9094-1a1ecd93285d</t>
  </si>
  <si>
    <t>b5a57205-0945-46a7-b45f-b81206dc1942</t>
  </si>
  <si>
    <t>Brina Cop</t>
  </si>
  <si>
    <t>ae0ae864-312c-49c7-aa0c-8ec18fbfc26a</t>
  </si>
  <si>
    <t>3fcba69c-63b3-4393-a21c-7d8ea4b14049</t>
  </si>
  <si>
    <t>Leane Laot </t>
  </si>
  <si>
    <t>cc0d16f7-81de-4037-a39e-6dc5beba62fe</t>
  </si>
  <si>
    <t>29ef7a9d-79c3-4298-93b3-7d7cf1e2c985</t>
  </si>
  <si>
    <t>15793fef-dc8e-4751-a00b-ac3f65eb6c10</t>
  </si>
  <si>
    <t>ceb5c577-0fbf-4d28-a3b5-5e81fcebcaf7</t>
  </si>
  <si>
    <t>be8e44d4-f3c0-4a00-8ab1-a14df150e8ed</t>
  </si>
  <si>
    <t>79c338d1-3bad-47f7-ad0d-ae8d5a469533</t>
  </si>
  <si>
    <t>Malka Salewski Beere</t>
  </si>
  <si>
    <t>877e779c-b957-4c0b-919f-d65749f83bff</t>
  </si>
  <si>
    <t>c0f18a80-2a45-438f-8442-20531c275012</t>
  </si>
  <si>
    <t>a785af26-cfeb-4d99-9bbe-7cb15670e4dc</t>
  </si>
  <si>
    <t>3b6e1309-77f5-4d8b-a559-5efb4faa402a</t>
  </si>
  <si>
    <t>Gianpiero Brunetti</t>
  </si>
  <si>
    <t>5c65cb65-92cd-45a0-b51a-173b78d94409</t>
  </si>
  <si>
    <t>215a1472-9614-413e-8f2a-8b4d7f9a62bd</t>
  </si>
  <si>
    <t>Mia Zlatevski</t>
  </si>
  <si>
    <t>745be576-4b5a-4de1-aef5-f94c3b131719</t>
  </si>
  <si>
    <t>7f83dc49-ffb3-440d-b3d2-6151cb327806</t>
  </si>
  <si>
    <t>Hatice Didem Oksuz</t>
  </si>
  <si>
    <t>4cd03464-6842-4038-bafa-4e135e7ace68</t>
  </si>
  <si>
    <t>94a0a3f8-2aab-442e-b7bc-259d3d27bae4</t>
  </si>
  <si>
    <t>d58ff56c-f661-4914-83a3-016e7c35e8c4</t>
  </si>
  <si>
    <t>0a6d3b76-7ba8-41ce-b2a0-08800981de4a</t>
  </si>
  <si>
    <t>88321b7b-9a7c-45e4-9d5b-bfb987027360</t>
  </si>
  <si>
    <t>6e801736-5f58-4230-b990-62857570cfdc</t>
  </si>
  <si>
    <t>dc999d2c-fc23-42de-91ec-d41bd00a530b</t>
  </si>
  <si>
    <t>083cc9f2-7ec8-4675-a0dd-d534b14969cf</t>
  </si>
  <si>
    <t>df37d04a-f516-4c87-976b-181f0a5eba25</t>
  </si>
  <si>
    <t>a6480178-867f-4848-b9a5-03f8bbef7814</t>
  </si>
  <si>
    <t>6571e27a-58a8-4653-84c5-885223045d2f</t>
  </si>
  <si>
    <t>09f573a2-563e-4db4-a50f-51d7e082bf0c</t>
  </si>
  <si>
    <t>071b9ce4-38fa-4912-a834-c99fc104f3f0</t>
  </si>
  <si>
    <t>923c75d0-269b-4b12-a2d1-240736feb3ae</t>
  </si>
  <si>
    <t>89cb778c-aec0-4b6e-b065-d6a91f714a69</t>
  </si>
  <si>
    <t>8664a00c-d1dc-4d6f-9ee5-a75542a17f6d</t>
  </si>
  <si>
    <t>61676032-411d-4811-85e7-f70fdafeebdc</t>
  </si>
  <si>
    <t>090fba7e-fb93-4d11-8934-f885e8afeeef</t>
  </si>
  <si>
    <t>23d38cf3-5614-415f-a7cb-36ddba88ef7e</t>
  </si>
  <si>
    <t>Jagadish Reddy </t>
  </si>
  <si>
    <t>acf3ab5f-531c-4e3d-b96d-8184830f92fd</t>
  </si>
  <si>
    <t>086e30a9-861a-4ab9-9783-7846314e81bb</t>
  </si>
  <si>
    <t>f793fef7-9991-405b-827a-145cc72c43cd</t>
  </si>
  <si>
    <t>ab62dc58-dce9-4f0a-b441-9c349c751d7f</t>
  </si>
  <si>
    <t>a31d29a0-514e-458b-92d3-97931957a5c4</t>
  </si>
  <si>
    <t>5e5433f7-d647-4fa2-8bcb-08054d433ae9</t>
  </si>
  <si>
    <t>4df93491-1327-47c6-b7c1-5478c2ebdeeb</t>
  </si>
  <si>
    <t>3ce64329-b488-497b-8449-e315c7938432</t>
  </si>
  <si>
    <t>ec54c503-2bf2-4ef5-85d6-23139f19429d</t>
  </si>
  <si>
    <t>13866a2c-f5c5-4bbe-aa1d-b2f15f699be3</t>
  </si>
  <si>
    <t>cd66a5d9-ff59-4b24-aed7-43d94a6937f5</t>
  </si>
  <si>
    <t>936d7c14-1d26-410a-9404-7d3072654a70</t>
  </si>
  <si>
    <t>df2f4126-5717-41ba-a337-4cd1f076b9ce</t>
  </si>
  <si>
    <t>34431fc2-5737-41ae-bd22-418e24ce4131</t>
  </si>
  <si>
    <t>€1.15</t>
  </si>
  <si>
    <t>€16.27</t>
  </si>
  <si>
    <t>b08ea1e9-abf2-4171-aaf8-73def44c41b5</t>
  </si>
  <si>
    <t>ea4ce0a5-367b-4c26-b67d-9804c7e66d04</t>
  </si>
  <si>
    <t>493ec8d0-4a05-4742-a47a-977c090aa7fd</t>
  </si>
  <si>
    <t>ab489a30-9a75-4116-b5d4-6acef6bf3fae</t>
  </si>
  <si>
    <t>6bb17a6a-a437-49ab-aa70-1f1eb4ed5639</t>
  </si>
  <si>
    <t>a00b0635-0245-4a0e-9a31-348d74c1c051</t>
  </si>
  <si>
    <t>0308a915-bb69-457f-a37a-d366cdb06238</t>
  </si>
  <si>
    <t>56459f55-21d9-43d8-9a1b-28c79b338e4d</t>
  </si>
  <si>
    <t>75b55adc-f3d9-440b-a244-36b6b561381b</t>
  </si>
  <si>
    <t>a5f931b1-019e-4513-856e-6987cf8a6891</t>
  </si>
  <si>
    <t>Luca Paolo Leue </t>
  </si>
  <si>
    <t>25a1dce1-5479-45ab-826f-697bdffb4439</t>
  </si>
  <si>
    <t>75fa7eea-4b7b-4616-a65e-32f375ce4e35</t>
  </si>
  <si>
    <t>3d4cd6b9-8c79-445a-a5d5-7ff78570bc33</t>
  </si>
  <si>
    <t>ad7c7905-fdca-4bb1-bf7d-7d105926181d</t>
  </si>
  <si>
    <t>25787b0b-b6b7-4a95-9c6f-ff739e781834</t>
  </si>
  <si>
    <t>4af7ccce-8067-40a4-a60e-de3f81c2f63e</t>
  </si>
  <si>
    <t>ANDREI TODASCA</t>
  </si>
  <si>
    <t>f0c4ea1b-1a6f-4d32-9928-162566d4ab18</t>
  </si>
  <si>
    <t>f6eeb7ef-87dc-4341-a5d2-4ba7e1683145</t>
  </si>
  <si>
    <t>d28b2767-ec45-4750-ab20-fc5cb44cfd85</t>
  </si>
  <si>
    <t>c0f81ada-a7f6-4042-bb84-ec1da898ca7c</t>
  </si>
  <si>
    <t>2758a745-791d-41c4-9a6c-749de7be503f</t>
  </si>
  <si>
    <t>a321f42b-eea9-4b7a-b01e-f78145d170e3</t>
  </si>
  <si>
    <t>María José García Gurrea</t>
  </si>
  <si>
    <t>2c30524c-36de-4736-9f71-d8572c6b0534</t>
  </si>
  <si>
    <t>a898f0c6-0f8e-48da-ae98-9d09712ac821</t>
  </si>
  <si>
    <t>437a0808-b21a-4b2e-8d9d-6701de2bf5dd</t>
  </si>
  <si>
    <t>65c0d5a5-2050-44bb-a9bb-03c26fdea8e4</t>
  </si>
  <si>
    <t>79798ab0-d49a-483a-a308-e7b154419355</t>
  </si>
  <si>
    <t>c142a0a6-189f-4950-ac7e-6eeed3351994</t>
  </si>
  <si>
    <t>Le Blanc</t>
  </si>
  <si>
    <t>aefde600-ae6b-4b74-aae3-06720bb6d145</t>
  </si>
  <si>
    <t>2972159b-2723-4f9c-b6c5-c05c0009544c</t>
  </si>
  <si>
    <t>Magdalena Wolf</t>
  </si>
  <si>
    <t>Magdalena wolf </t>
  </si>
  <si>
    <t>ba13a2bb-9f4e-43f6-b0e7-3c84de830e67</t>
  </si>
  <si>
    <t>4748e101-9371-485f-b99f-4898beb4070a</t>
  </si>
  <si>
    <t>ec243af8-a58b-4b2e-beb4-71b247034da0</t>
  </si>
  <si>
    <t>d92d760e-1788-44b7-b08c-5340a8d3ad04</t>
  </si>
  <si>
    <t>Yasmin Yazidi</t>
  </si>
  <si>
    <t>5b4ad28b-d640-41a8-8f7b-8e224256468d</t>
  </si>
  <si>
    <t>875e6420-cdac-4d06-a37a-00392c996ebc</t>
  </si>
  <si>
    <t>77e79326-bb8d-4543-a8f5-3c20b48e9e19</t>
  </si>
  <si>
    <t>5bbc689c-31a0-4846-ba7e-0c11f9ad2556</t>
  </si>
  <si>
    <t>Nikola Kresojevic</t>
  </si>
  <si>
    <t>65f23a6b-8044-413e-b5a4-1c892728e7e8</t>
  </si>
  <si>
    <t>cd537337-0e2c-4755-85fd-2e11c1517ca0</t>
  </si>
  <si>
    <t>eb7dcf5e-503a-4345-9eb9-bfc127495270</t>
  </si>
  <si>
    <t>77a6b0af-d831-42b2-88ec-21217b0b6c06</t>
  </si>
  <si>
    <t>2e5a9385-96aa-4df8-bd75-eed0fbc29e61</t>
  </si>
  <si>
    <t>802dfd83-2862-4975-8534-f575f486ee29</t>
  </si>
  <si>
    <t>97577461-0596-4861-8110-f3195616b5c4</t>
  </si>
  <si>
    <t>efbe77bb-39d0-49d2-8f10-eec3eb553545</t>
  </si>
  <si>
    <t>5f716c91-bd2e-4a8e-a4e7-50cd0dab056e</t>
  </si>
  <si>
    <t>79d81405-870f-49f1-a3a8-5c2e484b9d9c</t>
  </si>
  <si>
    <t>a527b9b7-3209-4621-96e7-934a6d1be5b7</t>
  </si>
  <si>
    <t>c53ad7cc-75bc-4b51-b078-13e54b86a599</t>
  </si>
  <si>
    <t>f8827136-9f41-4e2d-8a09-df0fba731334</t>
  </si>
  <si>
    <t>36fc2657-7c29-49ab-b5f4-5e2a8c0d95db</t>
  </si>
  <si>
    <t>586992c5-a150-41d5-85f7-bad79b8a002d</t>
  </si>
  <si>
    <t>c9c6fb9d-5d00-4a13-804e-b49e9246cca8</t>
  </si>
  <si>
    <t>cf91336a-3f70-459d-ab00-82ea8b994a98</t>
  </si>
  <si>
    <t>64b39af3-03fc-4d73-8087-f1124b64f1cb</t>
  </si>
  <si>
    <t>Kim-Leanne Pogade</t>
  </si>
  <si>
    <t>e0967d5f-1b3a-40f8-92f4-02345970c8be</t>
  </si>
  <si>
    <t>bea6a70f-ba35-4e47-bfca-3711019bd583</t>
  </si>
  <si>
    <t>Ole Plassmann</t>
  </si>
  <si>
    <t>4cfdc8cf-3a2c-438b-b881-1bd3298ce675</t>
  </si>
  <si>
    <t>07ff96d0-843f-4db3-b920-0be249043645</t>
  </si>
  <si>
    <t>2fcbb98a-dd9e-47c4-af0c-ee54f8f5113d</t>
  </si>
  <si>
    <t>83e9aa8d-1b05-4bd2-ab24-611e5734b482</t>
  </si>
  <si>
    <t>7f5e7428-9138-4580-8ad7-95c38925141a</t>
  </si>
  <si>
    <t>bd6eb2a8-ccd8-4811-bccf-74f4f6aaa8d8</t>
  </si>
  <si>
    <t>ELA SEZGIN TANIR</t>
  </si>
  <si>
    <t>3d2d3aba-c808-462b-b5cc-5fad0dbdc18a</t>
  </si>
  <si>
    <t>eee8c083-fbea-4086-b1fb-7350d2508c48</t>
  </si>
  <si>
    <t>968f1504-9c42-4066-a563-574b64fbab23</t>
  </si>
  <si>
    <t>7d6216a2-e17f-4efb-aebb-2e3577f813fe</t>
  </si>
  <si>
    <t>dbbcc591-fa22-4315-a44b-30c44158fc74</t>
  </si>
  <si>
    <t>b58cbdda-f7bc-4bb1-8c46-b7bba0c41c2e</t>
  </si>
  <si>
    <t>Marton Molnar</t>
  </si>
  <si>
    <t>a1113fc3-0976-425d-bbea-419e4a8b29a8</t>
  </si>
  <si>
    <t>cdbc15f6-e6d0-42a8-a942-c08817226210</t>
  </si>
  <si>
    <t>e4c43831-a60a-4182-9a30-40b26c19e3f1</t>
  </si>
  <si>
    <t>b4b91102-b1f7-4c1e-b8df-9b6f37359681</t>
  </si>
  <si>
    <t>43d732cb-3bee-4697-991f-5aceb5ff5216</t>
  </si>
  <si>
    <t>bdd002fe-8b88-4da7-b3d3-1fa284665712</t>
  </si>
  <si>
    <t>b59a22ba-33b1-49fe-8f9b-83359d10fea2</t>
  </si>
  <si>
    <t>52ce47b4-2fe4-42ca-9df8-07f7209fbd25</t>
  </si>
  <si>
    <t>6316b26e-2428-4c4d-a3de-3c1c1127e12d</t>
  </si>
  <si>
    <t>0d0ade27-0b0a-4def-b0b0-29a655c2a61c</t>
  </si>
  <si>
    <t>6677cd04-a6df-444a-8bcd-6d6d751190bb</t>
  </si>
  <si>
    <t>74af4b59-35ba-417e-8eae-ffaca711c0b5</t>
  </si>
  <si>
    <t>150789e3-5098-4f4d-9180-69824e9a58e0</t>
  </si>
  <si>
    <t>463a6a7d-b8fb-42e2-a379-51feb8920a20</t>
  </si>
  <si>
    <t>8395224a-8c8c-48ad-be6b-6e600ac4d439</t>
  </si>
  <si>
    <t>4449d9d4-39bd-4527-a388-ce79de353006</t>
  </si>
  <si>
    <t>95f41806-a730-43bd-88c1-b363e932e834</t>
  </si>
  <si>
    <t>445ddca7-ba0b-41b6-a29d-cae822c1da56</t>
  </si>
  <si>
    <t>13eed2ed-a254-4a00-9097-656faa163630</t>
  </si>
  <si>
    <t>68489f6f-f888-4eb4-9947-04768fcc4d2a</t>
  </si>
  <si>
    <t>15e13d3c-c416-4fdc-9693-54eedb13f01a</t>
  </si>
  <si>
    <t>3ec7fe82-6dc9-4ae4-b37e-b0fceffb05b3</t>
  </si>
  <si>
    <t>fb8e0fa0-0c7b-42af-88e0-2d37374db4e8</t>
  </si>
  <si>
    <t>afa6c4a3-5ed5-46c2-8aeb-96b28cc1006e</t>
  </si>
  <si>
    <t>59efb227-0d7a-4946-814f-81f72f3f206c</t>
  </si>
  <si>
    <t>878bb095-e9ba-4c71-9331-a41b5b4faf2c</t>
  </si>
  <si>
    <t>df7e0509-f56f-4968-8013-28c3a58a3781</t>
  </si>
  <si>
    <t>5da3df35-bd9f-4187-ae69-79d75ff459bf</t>
  </si>
  <si>
    <t>5883ea0b-ba9d-489a-ae0c-77b6c593326a</t>
  </si>
  <si>
    <t>679be62b-42f1-41ac-acbc-93a2c12cbdb4</t>
  </si>
  <si>
    <t>81714b81-3a9d-4c47-bc81-db6c55b08c94</t>
  </si>
  <si>
    <t>306d969e-3722-4fa6-8864-3db7a5a4a070</t>
  </si>
  <si>
    <t>64ae2a1e-db71-4afd-98c5-0e5ddb1a6c47</t>
  </si>
  <si>
    <t>50f80cdf-c6d6-4450-ae02-09fb100725ed</t>
  </si>
  <si>
    <t>e74a6b0e-8076-407e-8dd7-ed114a08aae4</t>
  </si>
  <si>
    <t>98f16562-c258-4542-b60d-8682d67c5c2a</t>
  </si>
  <si>
    <t>c332e692-baa4-4667-a408-b6a9682347b7</t>
  </si>
  <si>
    <t>ec698273-c6df-4abb-a58d-b1019916f084</t>
  </si>
  <si>
    <t>71faee0f-e518-4c24-8c4b-798577d8fe55</t>
  </si>
  <si>
    <t>27f5c6b6-e4c6-4fdc-b3a4-4d1112375ccc</t>
  </si>
  <si>
    <t>0126319d-8afe-44ed-836c-ae7c768dec62</t>
  </si>
  <si>
    <t>50c682a8-abbd-428c-809e-a84bc6b0c7d8</t>
  </si>
  <si>
    <t>a6f3b159-54f5-47c4-8f6e-e05cfa8483f6</t>
  </si>
  <si>
    <t>4eff37dc-b683-43b8-bab6-dd41e0dbf7b2</t>
  </si>
  <si>
    <t>63c06696-8b4d-4307-974f-d6dfaa6f2a02</t>
  </si>
  <si>
    <t>962a511f-4888-487e-ab15-fb50abae7027</t>
  </si>
  <si>
    <t>ed59ee5d-dca3-4bc5-8fc1-5a54dae50008</t>
  </si>
  <si>
    <t>e7375968-89a3-4d88-81dc-84a36ac76c88</t>
  </si>
  <si>
    <t>d0a03fcd-2cde-4f66-add1-3642ce4a3ccd</t>
  </si>
  <si>
    <t>6b164691-7b69-46ad-86de-3c9f851f55ad</t>
  </si>
  <si>
    <t>6f0f051e-6821-49d8-a5a4-4bd3f6ad9ae3</t>
  </si>
  <si>
    <t>€5.64</t>
  </si>
  <si>
    <t>€0.54</t>
  </si>
  <si>
    <t>€5.10</t>
  </si>
  <si>
    <t>872ef448-a0b6-44e6-bcb3-e3c2db2b9b18</t>
  </si>
  <si>
    <t>ae7cc135-813b-4afa-be6f-7777dd0975fc</t>
  </si>
  <si>
    <t>a69507ca-da5c-4653-987d-e188af204c64</t>
  </si>
  <si>
    <t>Laitila Aurelia Eleonoora</t>
  </si>
  <si>
    <t>f8b510da-2092-4e76-8e02-a1c8012d14a7</t>
  </si>
  <si>
    <t>5c6f3b78-e2fd-41df-80f7-fc96dead2b04</t>
  </si>
  <si>
    <t>db3ad78b-89d1-4206-9b62-aca323edac04</t>
  </si>
  <si>
    <t>565c0a3d-995f-4e52-8db2-270b6dfdec14</t>
  </si>
  <si>
    <t>Paula Marie Zetsche</t>
  </si>
  <si>
    <t>07d8e409-77a3-496f-b617-f689815ac6c3</t>
  </si>
  <si>
    <t>5226425f-bd28-4f7a-a6ae-a8a797aec006</t>
  </si>
  <si>
    <t>8c77b463-4b71-47cd-9c41-becf88e87cc0</t>
  </si>
  <si>
    <t>54c272f5-7fa0-4768-8da7-9d6ff03fbf94</t>
  </si>
  <si>
    <t>2b0a7398-839f-49d6-b32a-15e999bad000</t>
  </si>
  <si>
    <t>d00904b1-0cce-4a01-a0d8-d1540614dbf2</t>
  </si>
  <si>
    <t>d3a7276e-a4ab-4a26-83ec-f7b48d61a9f5</t>
  </si>
  <si>
    <t>038f66bf-a478-4b4c-b307-25232e938622</t>
  </si>
  <si>
    <t>€5.06</t>
  </si>
  <si>
    <t>eecbe8f8-7856-448e-9036-0a35186367ea</t>
  </si>
  <si>
    <t>4d445b58-ffa1-4e96-be97-28195b74269a</t>
  </si>
  <si>
    <t>a91ac93b-18c7-49fe-90ec-f752eceea923</t>
  </si>
  <si>
    <t>c89d2954-ee26-4f2f-a7a9-eb8666984da8</t>
  </si>
  <si>
    <t>7e5a14a2-651d-4def-b572-dec1284dbc13</t>
  </si>
  <si>
    <t>badb871f-ab0a-44d8-9767-491561716334</t>
  </si>
  <si>
    <t>c51b8a25-15e4-465f-a231-f83f463de449</t>
  </si>
  <si>
    <t>b3b01051-8776-4da1-b207-681229e31564</t>
  </si>
  <si>
    <t>Olivia Lintu</t>
  </si>
  <si>
    <t>3287ae21-6ae4-47b6-b630-c4e02e9d3368</t>
  </si>
  <si>
    <t>359921bc-3796-4d97-8718-7d9e702af1f9</t>
  </si>
  <si>
    <t>€12.30</t>
  </si>
  <si>
    <t>€0.90</t>
  </si>
  <si>
    <t>€11.40</t>
  </si>
  <si>
    <t>2f9b8f95-1f11-4e6f-b5e2-e62b0837f04d</t>
  </si>
  <si>
    <t>32499f8a-0d36-4e23-8e83-6c02b64ddaab</t>
  </si>
  <si>
    <t>Pia-Luna Salzbrenner</t>
  </si>
  <si>
    <t>441b4663-55eb-40b7-b4b2-50179a49de89</t>
  </si>
  <si>
    <t>82fdf233-6706-4112-b578-f48ca5a96999</t>
  </si>
  <si>
    <t>1a262960-4bd2-4fa1-80a4-6c04c10f1ce1</t>
  </si>
  <si>
    <t>0303c57f-3266-4394-83fb-6d16b97af55c</t>
  </si>
  <si>
    <t>a628b86f-e084-45d3-8c31-4c0d3e283a71</t>
  </si>
  <si>
    <t>c418dcee-ed4a-4f7a-a519-fccc3e8383cc</t>
  </si>
  <si>
    <t>878b5031-1135-459e-b1b7-d021b86fe690</t>
  </si>
  <si>
    <t>1a75aa27-efe6-4454-9ae4-06b9a851fedb</t>
  </si>
  <si>
    <t>bdc7c8ff-a518-4539-be31-13e6dfbf34f4</t>
  </si>
  <si>
    <t>c2e7fa38-f658-4914-ba5f-cec088c90eca</t>
  </si>
  <si>
    <t>a8aaf146-4620-458e-a3c7-71130cb6d9f8</t>
  </si>
  <si>
    <t>ccd94874-8523-4237-9f0a-27359dad684e</t>
  </si>
  <si>
    <t>Julian Sacchi</t>
  </si>
  <si>
    <t>€26.13</t>
  </si>
  <si>
    <t>€1.41</t>
  </si>
  <si>
    <t>€24.72</t>
  </si>
  <si>
    <t>0d60f94c-0473-4e51-90df-104cd6cca021</t>
  </si>
  <si>
    <t>3ba9f361-6e2d-4649-a32f-a9b1212c6b21</t>
  </si>
  <si>
    <t>b289148c-3a95-4c23-a1ad-a8b028455c7f</t>
  </si>
  <si>
    <t>2f6c61fe-14fb-4c40-aeea-579ee96de9b4</t>
  </si>
  <si>
    <t>Carole Lefeuvre</t>
  </si>
  <si>
    <t>€32.79</t>
  </si>
  <si>
    <t>€1.70</t>
  </si>
  <si>
    <t>€31.09</t>
  </si>
  <si>
    <t>5866fdd9-5368-4b29-b67d-905e50a417fd</t>
  </si>
  <si>
    <t>3bf16088-0513-45ec-98fe-5658ecb98f28</t>
  </si>
  <si>
    <t>80a01b2c-84e3-4517-af21-f0a8a1a15bc6</t>
  </si>
  <si>
    <t>eae29525-d3d3-45bc-bdf2-2d7d62e7f9d7</t>
  </si>
  <si>
    <t>252961ce-2992-42ec-b953-715a76fcdea9</t>
  </si>
  <si>
    <t>f7651526-95ee-4b14-9da6-919d520cbd50</t>
  </si>
  <si>
    <t>710776ca-8f7e-4e32-91f6-5a000dd63cc8</t>
  </si>
  <si>
    <t>5d812eee-73d0-4c34-ba78-c0d7667eb841</t>
  </si>
  <si>
    <t>Helen Eichhorn</t>
  </si>
  <si>
    <t>€1.25</t>
  </si>
  <si>
    <t>€16.17</t>
  </si>
  <si>
    <t>9a110964-2efa-4799-ac32-7282e458ac60</t>
  </si>
  <si>
    <t>18429274-274d-4135-a4e0-5a657cc9fbec</t>
  </si>
  <si>
    <t>cc110cc5-7330-456e-a4fd-e9988069fe42</t>
  </si>
  <si>
    <t>€3.59</t>
  </si>
  <si>
    <t>€0.48</t>
  </si>
  <si>
    <t>€3.11</t>
  </si>
  <si>
    <t>ccb95c20-fe4f-4281-99a6-c90501283346</t>
  </si>
  <si>
    <t>487bf9c0-8571-43fa-a96c-fc7353c0adfe</t>
  </si>
  <si>
    <t>ed964586-c005-4e2a-bf1c-d5fea0e30b5e</t>
  </si>
  <si>
    <t>86c786d2-1344-4dc0-9bb9-be68ca80286e</t>
  </si>
  <si>
    <t>72d7615b-5675-411c-8d21-82b8f59cffa2</t>
  </si>
  <si>
    <t>9dade8b7-4fa3-45ef-9abf-380a6016cc35</t>
  </si>
  <si>
    <t>33c29d61-f4cd-4e8d-b819-5e7c42be9fd1</t>
  </si>
  <si>
    <t>8404436c-b8fb-4e86-85c7-ffdfa33fd6b8</t>
  </si>
  <si>
    <t>43928c12-6481-429a-88ad-6ffabf73c40a</t>
  </si>
  <si>
    <t>€0.46</t>
  </si>
  <si>
    <t>€3.13</t>
  </si>
  <si>
    <t>9b5bcdd7-befa-46b6-8b52-1ad3c6f3fd4b</t>
  </si>
  <si>
    <t>8a1486f8-7170-4839-8f41-aee913f11b47</t>
  </si>
  <si>
    <t>9bb9df9e-491c-4485-b7f3-e6676e2aff46</t>
  </si>
  <si>
    <t>b6553711-4010-4954-aa00-f2baa66e9012</t>
  </si>
  <si>
    <t>4e2b8e82-74f0-4360-8e8e-9be58571e7da</t>
  </si>
  <si>
    <t>d398eaeb-b7f8-427d-8d03-c3c3dd01550e</t>
  </si>
  <si>
    <t>5736ac74-58bd-4e0f-9b3e-e7c5d62d0359</t>
  </si>
  <si>
    <t>Runa Leni Beate Graf</t>
  </si>
  <si>
    <t>31eb146d-4bf0-40e6-8c24-107cfee02768</t>
  </si>
  <si>
    <t>eca19dd5-c7ad-4bdd-b3d0-0f3a72685e92</t>
  </si>
  <si>
    <t>€4.61</t>
  </si>
  <si>
    <t>€0.50</t>
  </si>
  <si>
    <t>€4.11</t>
  </si>
  <si>
    <t>e1063d80-041f-4ab6-ad84-9518073516b0</t>
  </si>
  <si>
    <t>4330a4d2-38e1-4479-bfbb-b88e17826899</t>
  </si>
  <si>
    <t>16729ac5-65b4-4331-b68c-c8447547437d</t>
  </si>
  <si>
    <t>7ccef230-fe95-4990-9880-556aa666915a</t>
  </si>
  <si>
    <t>474ebac4-cb48-4b87-9983-efa4784e8836</t>
  </si>
  <si>
    <t>b4d910aa-a3a7-4b7c-b05d-21d10a63ed44</t>
  </si>
  <si>
    <t>dd849d2c-735e-4235-b90d-58f4ac046ad4</t>
  </si>
  <si>
    <t>2a671614-d175-4807-9b6c-533b3387583b</t>
  </si>
  <si>
    <t>e95fe2bd-5488-4892-8d51-cd6427362815</t>
  </si>
  <si>
    <t>e9d19e28-23a2-4981-8c34-6d7d816b85f4</t>
  </si>
  <si>
    <t>e4b6d83d-6394-4f73-b656-286379fe4f70</t>
  </si>
  <si>
    <t>cd7fd3b1-8963-4830-a3fa-a27344e764d2</t>
  </si>
  <si>
    <t>4093bc14-b3d7-47c7-8477-726d80ff920b</t>
  </si>
  <si>
    <t>6f95f332-f9a3-4e35-9fb5-fe772b2eced8</t>
  </si>
  <si>
    <t>c3dba99a-9d8c-4eb2-949a-984b4137e800</t>
  </si>
  <si>
    <t>f93f2796-a3f1-42dc-9a1b-785da3103382</t>
  </si>
  <si>
    <t>b48d91b6-94fc-4525-b932-98dfb2a20ce0</t>
  </si>
  <si>
    <t>70b51907-3c3b-4430-a1fa-714dc1694fba</t>
  </si>
  <si>
    <t>465ad33e-f49b-4714-9b66-1ef5eb7c0785</t>
  </si>
  <si>
    <t>c608c71e-4777-437e-b925-058ae6d52c78</t>
  </si>
  <si>
    <t>f55165da-a91d-4399-a61b-bd1d71df357b</t>
  </si>
  <si>
    <t>be86f350-4981-4163-ae14-a9472787bac3</t>
  </si>
  <si>
    <t>7b6df8ce-9f6c-4fea-b129-69238a2706bd</t>
  </si>
  <si>
    <t>fe7ef8f8-7462-4ed5-bd83-32705f51418c</t>
  </si>
  <si>
    <t>0c546b90-66b0-44b4-8a0d-cfc3fdabe24d</t>
  </si>
  <si>
    <t>c13445c1-b60a-4386-84bf-e9131c4d1bf4</t>
  </si>
  <si>
    <t>18c2404a-8bbf-4e52-951c-da5cde9828ec</t>
  </si>
  <si>
    <t>a23f73fd-1429-401d-9175-73551e77f31d</t>
  </si>
  <si>
    <t>fe425e52-1acc-4567-8366-50ca328b27b2</t>
  </si>
  <si>
    <t>c0d64d2b-17bf-4c39-b9d7-6680a0218196</t>
  </si>
  <si>
    <t>51bcff5c-57e2-4eb2-b926-1731903787e0</t>
  </si>
  <si>
    <t>ab6a1279-70fa-4065-b76e-b91f6944d601</t>
  </si>
  <si>
    <t>cf8d70e9-d644-4c16-8e3b-7e2e5ef2a61c</t>
  </si>
  <si>
    <t>af907ed8-9d33-4c8b-acca-f94b11f94492</t>
  </si>
  <si>
    <t>e1da0d9e-f53e-4cb8-bce6-db61bd7d0c99</t>
  </si>
  <si>
    <t>€0.52</t>
  </si>
  <si>
    <t>€4.09</t>
  </si>
  <si>
    <t>bbeccc6d-3faa-4800-9618-faf17436a504</t>
  </si>
  <si>
    <t>1c7f543f-4491-43dd-9ff9-e33a15426975</t>
  </si>
  <si>
    <t>f1ec68f7-2939-423f-a001-35c5f06539cb</t>
  </si>
  <si>
    <t>36906fd1-e42b-45c3-865c-9887d7fe29c7</t>
  </si>
  <si>
    <t>6bb55e61-efd1-485e-a6b5-1bce93e84fb1</t>
  </si>
  <si>
    <t>b43398ec-a115-485e-a506-7fd34a58ccf8</t>
  </si>
  <si>
    <t>54e5efb9-0ab9-4c12-a12c-8f265c31e2a9</t>
  </si>
  <si>
    <t>a57d59f4-efe6-49f1-9cab-588dcbae3ffb</t>
  </si>
  <si>
    <t>ce9d2282-7140-4caf-b8d4-a0684b79f9f1</t>
  </si>
  <si>
    <t>9acb8b52-9884-4d91-b83f-5ed54d50697a</t>
  </si>
  <si>
    <t>ef546d5d-2849-4edb-8e27-4c47b5408945</t>
  </si>
  <si>
    <t>5cf62904-0c27-4078-9810-dc7f777a9029</t>
  </si>
  <si>
    <t>4ff23e37-8d6a-4d7c-b5da-36355c22e5f3</t>
  </si>
  <si>
    <t>e703b8d7-c9cc-44d8-bc13-f6f6503f37c9</t>
  </si>
  <si>
    <t>cf1eb9b9-7d67-44c2-894d-2fd8be473832</t>
  </si>
  <si>
    <t>707b9ac9-3301-4f43-9cbe-35e960b8bc94</t>
  </si>
  <si>
    <t>5dd685b0-0be0-4899-bbfa-96283df9d61f</t>
  </si>
  <si>
    <t>b5edbb25-513f-4375-bc2b-d7507f1d8b1d</t>
  </si>
  <si>
    <t>2dba1139-11d7-4f6c-9dad-b0f38c9a411e</t>
  </si>
  <si>
    <t>David Finn Kuempers</t>
  </si>
  <si>
    <t>e28ede70-d566-4f91-af74-4d37f9d27d2f</t>
  </si>
  <si>
    <t>0de0795c-6e5a-417b-bbc8-4f1ba04cba41</t>
  </si>
  <si>
    <t>d56d0735-fda8-4dcc-8180-44908a3bcc93</t>
  </si>
  <si>
    <t>76e6435d-61d7-4039-bbf2-42c4aaf802ad</t>
  </si>
  <si>
    <t>ea40a5fb-9d9b-460d-b96a-0669217f09c7</t>
  </si>
  <si>
    <t>Matteo Dressino</t>
  </si>
  <si>
    <t>d5dd4afd-ea89-4cc0-b2a9-5ebfd9afe7a0</t>
  </si>
  <si>
    <t>27259347-d771-4313-892e-2a28bfd552bb</t>
  </si>
  <si>
    <t>Matteo Piccini</t>
  </si>
  <si>
    <t>dd672dfe-fdef-45a9-9d9f-89fd5bebfda4</t>
  </si>
  <si>
    <t>947261a2-52b4-4f30-9cf2-ffe19a227fe8</t>
  </si>
  <si>
    <t>09f4467c-404c-4bf0-b589-fab4559f70ae</t>
  </si>
  <si>
    <t>f184e732-9234-4f74-b30d-d36cea2a866c</t>
  </si>
  <si>
    <t>0cedbb2d-55fa-4b38-aada-eb5668f3047f</t>
  </si>
  <si>
    <t>6a1e64fb-10f4-44e6-82de-c4a1311c9770</t>
  </si>
  <si>
    <t>fc72b7f7-98c8-4dd0-a3e1-c506b94ec52c</t>
  </si>
  <si>
    <t>5b00a718-96a6-4707-ad87-737870133c88</t>
  </si>
  <si>
    <t>37593bf3-eb7b-4978-8c36-9b38a2b7bc3d</t>
  </si>
  <si>
    <t>4afe1c44-6461-4f37-a0a2-f31297ee26de</t>
  </si>
  <si>
    <t>abfcf288-de83-4be1-bac0-032db189dbd1</t>
  </si>
  <si>
    <t>6fe87793-74a8-4763-bff8-f32be0a714dd</t>
  </si>
  <si>
    <t>bb4458c4-5108-4759-804f-f4eb370d5ea9</t>
  </si>
  <si>
    <t>529dedd5-91e2-487f-bcc9-5cb10ea244c6</t>
  </si>
  <si>
    <t>Clara Steinhart</t>
  </si>
  <si>
    <t>969a7931-29f2-4b1a-800d-75845da41d5d</t>
  </si>
  <si>
    <t>324f41f8-978a-454e-88bd-89e35b7fca53</t>
  </si>
  <si>
    <t>€2.05</t>
  </si>
  <si>
    <t>€0.40</t>
  </si>
  <si>
    <t>€1.65</t>
  </si>
  <si>
    <t>a7094b5c-cdf7-4511-8591-929152c0c3a9</t>
  </si>
  <si>
    <t>bc56b1ef-66de-4539-8358-8aaedc89a6e7</t>
  </si>
  <si>
    <t>ced27821-a85c-4014-8b3b-9ba405776ef8</t>
  </si>
  <si>
    <t>3b9c0058-4b84-4071-bcea-adcd6caeef2e</t>
  </si>
  <si>
    <t>452ac131-3b94-47fd-80c1-0b54bea0859e</t>
  </si>
  <si>
    <t>€0.39</t>
  </si>
  <si>
    <t>€1.66</t>
  </si>
  <si>
    <t>f291c884-48f3-465e-bf16-a0c87f2d95ae</t>
  </si>
  <si>
    <t>92227b2a-9109-40d6-9b61-5454d5598dd0</t>
  </si>
  <si>
    <t>44560264-5a49-4d49-9485-9b8ea066e5a0</t>
  </si>
  <si>
    <t>€4.10</t>
  </si>
  <si>
    <t>€3.62</t>
  </si>
  <si>
    <t>b17b305d-375f-46c7-a654-3d4a36948b23</t>
  </si>
  <si>
    <t>d239026e-6275-41c0-b0a5-48ba5de52187</t>
  </si>
  <si>
    <t>917efbd8-0f16-46ca-8a99-afd49d07913f</t>
  </si>
  <si>
    <t>0b05fe0e-6f41-481c-9d84-8500bb576c39</t>
  </si>
  <si>
    <t>5e05a08a-f518-4e62-9316-f62d5e8f9087</t>
  </si>
  <si>
    <t>db38a627-976d-4f0c-ab70-bbeff1eb578b</t>
  </si>
  <si>
    <t>6f35ada5-2551-4df9-902d-1109453fefe6</t>
  </si>
  <si>
    <t>3245841c-5213-4f5c-9bbf-937e87610f79</t>
  </si>
  <si>
    <t>Miguel José Mollá García</t>
  </si>
  <si>
    <t>90daa1fe-c355-4991-848e-1a6262278c7a</t>
  </si>
  <si>
    <t>0a8b5e5b-75eb-499e-a2af-8be434784ef2</t>
  </si>
  <si>
    <t>d5d3f425-8f7a-450e-889f-6efeaee75031</t>
  </si>
  <si>
    <t>7b85cd65-286a-4638-8862-017e139cc804</t>
  </si>
  <si>
    <t>Soňa Hutňanová</t>
  </si>
  <si>
    <t>Sona Hutnanova</t>
  </si>
  <si>
    <t>69f9a8b1-1218-4572-b1aa-f78083ef737f</t>
  </si>
  <si>
    <t>846830bd-3727-4751-b999-f6890bf43e69</t>
  </si>
  <si>
    <t>edc725f1-09dd-494d-b1dc-21f84540fa28</t>
  </si>
  <si>
    <t>125c0859-bc4f-427f-b7e9-78b9403a062e</t>
  </si>
  <si>
    <t>873f6233-ab5a-4046-9392-d9e243a60150</t>
  </si>
  <si>
    <t>7cca416e-77d4-4211-8739-3b811c97c3e4</t>
  </si>
  <si>
    <t>f0aa9335-dcdb-4a8a-9811-e84eee7b99c2</t>
  </si>
  <si>
    <t>9946be21-f590-4c43-9b52-525af37191ff</t>
  </si>
  <si>
    <t>14dfefbc-8c39-4f82-9333-dc12f4737f18</t>
  </si>
  <si>
    <t>9c9c5611-0ee1-4526-a884-25f5267c282c</t>
  </si>
  <si>
    <t>256a51aa-0726-479d-8dbf-ee6c3eff6f35</t>
  </si>
  <si>
    <t>c38d7583-71a5-486b-bfe9-469b8cc7ea3f</t>
  </si>
  <si>
    <t>742995fc-7f6a-4c1e-b4a9-7757c1b248d6</t>
  </si>
  <si>
    <t>6a06e8a3-90d2-4366-bc79-0f35551c53dc</t>
  </si>
  <si>
    <t>5449ed55-bad6-45b8-ae93-36e5bd5fe4f2</t>
  </si>
  <si>
    <t>63498157-8c33-4fb8-b6c2-3a28f0c50fba</t>
  </si>
  <si>
    <t>885bcb01-3240-4f54-a96b-6b9d6b2daddd</t>
  </si>
  <si>
    <t>3c0759e9-99d7-444a-bd92-90a880aec415</t>
  </si>
  <si>
    <t>26f21b6e-207b-454c-a124-ed2e8cce5ee2</t>
  </si>
  <si>
    <t>d6b181fb-7cea-488e-bfe0-0cca653fc047</t>
  </si>
  <si>
    <t>336d4737-ee92-4d98-9c8c-1141d0c2afb9</t>
  </si>
  <si>
    <t>9d6051d1-3ce8-4d55-ba71-deadfb56dcf9</t>
  </si>
  <si>
    <t>deaa91b8-d9c8-4117-8491-a47382c8e7ce</t>
  </si>
  <si>
    <t>40b8cf52-3c6d-44a3-8766-17b68a0ae32c</t>
  </si>
  <si>
    <t>7dcc89cd-538d-4c11-8c4d-893bb7860bb3</t>
  </si>
  <si>
    <t>11b6eedf-0e25-49f0-a5c1-f4675297cbe3</t>
  </si>
  <si>
    <t>bd3583f8-4e47-4399-825e-eda54e2d5cd8</t>
  </si>
  <si>
    <t>307a2c2c-3520-4a73-afab-5085f6f67266</t>
  </si>
  <si>
    <t>a6f3031d-f44f-40d9-a899-4123a536dfd6</t>
  </si>
  <si>
    <t>d30f67f4-a378-41a8-b0dd-76653d69e8f5</t>
  </si>
  <si>
    <t>80071f78-c2d8-4765-8beb-82b113fda4be</t>
  </si>
  <si>
    <t>b5390aee-a437-475b-976c-1a72c87031f0</t>
  </si>
  <si>
    <t>4b5ed3af-8a49-4a2a-a685-683a4884c6c4</t>
  </si>
  <si>
    <t>f00772ff-3b5e-4466-88a6-c1a4ae80fa99</t>
  </si>
  <si>
    <t>f0a663e1-7f2d-494e-8c9c-d2eff8df8667</t>
  </si>
  <si>
    <t>2460c997-e390-4eea-9946-f9a63add2628</t>
  </si>
  <si>
    <t>02f9a7a9-c026-441c-a3a7-872231e67254</t>
  </si>
  <si>
    <t>df101bde-4764-4d95-ae68-80352eaf3f52</t>
  </si>
  <si>
    <t>b1a11c42-9954-403d-834b-85daa52e3e92</t>
  </si>
  <si>
    <t>5b65b454-71cb-4f4a-a7f4-6637618ecc64</t>
  </si>
  <si>
    <t>Mathias Groh</t>
  </si>
  <si>
    <t>e4da62b1-8827-46ec-ab58-e0c37982d2a6</t>
  </si>
  <si>
    <t>95ae86b6-e559-44bf-9c2f-bb458906da61</t>
  </si>
  <si>
    <t>1a7c12fc-92e1-4382-b886-696e53979dc2</t>
  </si>
  <si>
    <t>Alice Marrucci</t>
  </si>
  <si>
    <t>a875ce87-ad97-4547-8398-b6fd3986c146</t>
  </si>
  <si>
    <t>3f6f3940-0b5b-43b0-9711-729a93727869</t>
  </si>
  <si>
    <t>2b7313ff-cde5-4eea-bdfe-c629cce4efb1</t>
  </si>
  <si>
    <t>12d21c64-4c47-444a-8e3d-1af8c0c9362c</t>
  </si>
  <si>
    <t>533de687-b567-4671-8add-fadf2487187b</t>
  </si>
  <si>
    <t>cb693c9b-0956-4cbe-bd8d-c5a1e63ea760</t>
  </si>
  <si>
    <t>174ae02e-9286-476e-86b0-5a0e37797702</t>
  </si>
  <si>
    <t>c2e8bfcd-2686-4454-8570-68044f76cf5d</t>
  </si>
  <si>
    <t>Jade Saint Girons</t>
  </si>
  <si>
    <t>7e2003a5-4cb2-460d-a298-c2db130f091c</t>
  </si>
  <si>
    <t>f42672b8-6fb3-42ea-9172-6011eef23698</t>
  </si>
  <si>
    <t>€6.15</t>
  </si>
  <si>
    <t>€0.56</t>
  </si>
  <si>
    <t>€5.59</t>
  </si>
  <si>
    <t>76946eeb-6861-4de8-bb6d-ab74fc2e3a68</t>
  </si>
  <si>
    <t>6956e4b6-0090-4c70-a01e-318dda43bada</t>
  </si>
  <si>
    <t>af43cafe-c0e4-4bba-98bd-b2555b3c0ea4</t>
  </si>
  <si>
    <t>99d57c8a-a5da-4c70-8376-79e4be9b0793</t>
  </si>
  <si>
    <t>5d815425-9606-41cf-9ee3-b4260434ee1a</t>
  </si>
  <si>
    <t>6cf2e5e0-edee-43f3-9ad8-95d278b37602</t>
  </si>
  <si>
    <t>891cdbe5-c918-41af-bfc1-d147ee02e880</t>
  </si>
  <si>
    <t>4ffe7831-6401-4d65-b599-0542c49b0768</t>
  </si>
  <si>
    <t>a70c5ef4-6d5c-4e8d-b1cd-34532e5fe606</t>
  </si>
  <si>
    <t>8de3c3b5-934a-432c-948d-9e937311c0bd</t>
  </si>
  <si>
    <t>46d270ea-85d9-494c-bf38-0c56930ac874</t>
  </si>
  <si>
    <t>35ae0f87-5dfd-427d-8b12-710a5ab61068</t>
  </si>
  <si>
    <t>ab67ffa6-f68b-4d97-947f-15f7da11b416</t>
  </si>
  <si>
    <t>8311e80a-3a9f-446d-aa47-3b1dc515192b</t>
  </si>
  <si>
    <t>183af998-afcc-42a5-b179-9a314b6e8d81</t>
  </si>
  <si>
    <t>e9077ea1-8668-4084-b67a-9357f92548db</t>
  </si>
  <si>
    <t>e04c9889-907e-45b4-a574-d730234e27de</t>
  </si>
  <si>
    <t>0373e153-8594-4245-a2bf-df5f2476e133</t>
  </si>
  <si>
    <t>9a5b1206-41ff-4aa2-8e9f-699340436fc4</t>
  </si>
  <si>
    <t>7fda0b56-66f0-41c0-97b5-0b7841ea185e</t>
  </si>
  <si>
    <t>€8.20</t>
  </si>
  <si>
    <t>€0.65</t>
  </si>
  <si>
    <t>€7.55</t>
  </si>
  <si>
    <t>e3529f4a-1511-4af5-abdc-c66a4beb3329</t>
  </si>
  <si>
    <t>6a160aa5-7492-41f1-a6a3-f6390f906c8f</t>
  </si>
  <si>
    <t>6a4b6fa2-f19f-40ce-ab34-4bee7119d6df</t>
  </si>
  <si>
    <t>76477306-bea7-44e8-bd01-0aad6b0a9b79</t>
  </si>
  <si>
    <t>baae2f11-1e57-48a1-9a4e-22df81c790b0</t>
  </si>
  <si>
    <t>cb20c962-16f2-4123-9510-e9291bf5b65b</t>
  </si>
  <si>
    <t>59303d02-ba1e-429d-a3a0-5c2465befc39</t>
  </si>
  <si>
    <t>b28fe86f-3341-4d00-b8fd-74e7790ea789</t>
  </si>
  <si>
    <t>d908c197-696e-4007-ab66-faa852c7842e</t>
  </si>
  <si>
    <t>d60d48b2-a3cc-4ffa-8b0b-d573f14b4b91</t>
  </si>
  <si>
    <t>€3.60</t>
  </si>
  <si>
    <t>587f00e1-f293-4e1e-a8ed-75ff7405635a</t>
  </si>
  <si>
    <t>97bfbe85-6cdf-4d8e-a3d1-176a9b115551</t>
  </si>
  <si>
    <t>726c0c73-e975-4d1f-974f-bb6932c08141</t>
  </si>
  <si>
    <t>7f838239-85cf-4f51-a315-e4c07a52c6fe</t>
  </si>
  <si>
    <t>Yasmine Lyon </t>
  </si>
  <si>
    <t>09dee764-0527-4636-aaad-13576573b516</t>
  </si>
  <si>
    <t>3065fbcc-de19-4336-ac75-55045488d93f</t>
  </si>
  <si>
    <t>5bf37d61-ad18-43a6-b84f-c997a9dcd16d</t>
  </si>
  <si>
    <t>8ec39439-afbf-435b-a6d5-9247ac823ef3</t>
  </si>
  <si>
    <t>6a81fa03-4377-46eb-b8ca-b4cbddfc25fb</t>
  </si>
  <si>
    <t>1e13adc4-17f9-4818-b004-8135ec25b7a1</t>
  </si>
  <si>
    <t>6096526e-3338-4c7e-be62-827e60f0e34a</t>
  </si>
  <si>
    <t>b53f2fe6-79b8-4d05-aadb-8b22234bd3fb</t>
  </si>
  <si>
    <t>03fa02cf-35a4-4f42-8131-e6fdad470938</t>
  </si>
  <si>
    <t>Mia Zlatevski </t>
  </si>
  <si>
    <t>609a60fa-9bae-43a2-8dc4-c3c1a2ca56c5</t>
  </si>
  <si>
    <t>ce24b36e-7551-4062-8389-59787fa27089</t>
  </si>
  <si>
    <t>d70e7a29-d455-4657-98fb-93ca59be545b</t>
  </si>
  <si>
    <t>540bbd19-1c66-4c88-8bef-762e454e3d03</t>
  </si>
  <si>
    <t>f52aa5a1-8f99-434e-9c7b-0d669b0a3d5a</t>
  </si>
  <si>
    <t>f994fbc8-54fe-4138-a7cf-d2037d3a281e</t>
  </si>
  <si>
    <t>055922f1-8a6f-441b-a610-0d98946a6f19</t>
  </si>
  <si>
    <t>ef9ed838-63e6-458e-8e90-5eef0b1184a0</t>
  </si>
  <si>
    <t>b9e92e76-2a30-4bab-9221-97e1597011bd</t>
  </si>
  <si>
    <t>96b45276-1478-4ed2-8f71-76a2dbeece84</t>
  </si>
  <si>
    <t>4fd184be-1f4f-4e15-b773-24d789c26abb</t>
  </si>
  <si>
    <t>58f69299-15e6-42ab-a6d7-43290ee9f50b</t>
  </si>
  <si>
    <t>c0c34abe-eca4-4ac3-90c0-8732c96f5d13</t>
  </si>
  <si>
    <t>c7fd4d7d-0a1e-41dd-b452-06040bdbcde7</t>
  </si>
  <si>
    <t>792a8a68-00dd-4939-8231-8e9d77c9b0a5</t>
  </si>
  <si>
    <t>2d6e37b7-fc64-4c83-8f6e-a81dbb08847b</t>
  </si>
  <si>
    <t>1dade14d-cc8f-4f0c-8a5f-7e55a9e48058</t>
  </si>
  <si>
    <t>276b80ac-398b-4b9a-a7a2-63b5865eeff2</t>
  </si>
  <si>
    <t>d9d92259-1e96-41de-9041-6791344599ad</t>
  </si>
  <si>
    <t>97c77783-b68d-42d0-8b24-e08c804d7c9a</t>
  </si>
  <si>
    <t>bd7a805c-0f21-46a2-a52b-0342cb4a086b</t>
  </si>
  <si>
    <t>Muller Feuga marie</t>
  </si>
  <si>
    <t>77c6635e-979f-4084-a06d-2acb2b78ce12</t>
  </si>
  <si>
    <t>92a74fbd-9320-4450-b53a-802d7a982b87</t>
  </si>
  <si>
    <t>fd051e02-7330-468a-b795-a1603ccc8556</t>
  </si>
  <si>
    <t>53ea2829-6f61-4abb-b83f-386feb075bb2</t>
  </si>
  <si>
    <t>f20809ea-a72b-4740-80d8-eb6892e96e74</t>
  </si>
  <si>
    <t>79e39a02-178b-459d-8ec8-52503f9d833f</t>
  </si>
  <si>
    <t>ae2a0f17-5a5e-46b3-8efc-571faa15122d</t>
  </si>
  <si>
    <t>1fa55873-35e8-4a3d-a56a-5228ae5ae159</t>
  </si>
  <si>
    <t>93842633-aa2b-4734-a486-6ef884e091e5</t>
  </si>
  <si>
    <t>0e8dac78-44ed-43f8-b1f1-04ece7debd4d</t>
  </si>
  <si>
    <t>5d02d533-6878-4bcb-9ed9-3b63469c622d</t>
  </si>
  <si>
    <t>fddfbecf-8af2-486e-a1af-9aabbd7a54e1</t>
  </si>
  <si>
    <t>f2eabc3d-f48a-4ded-ae08-199bace2c8f5</t>
  </si>
  <si>
    <t>da62ea02-3ac1-4cf2-96cf-55285447c1aa</t>
  </si>
  <si>
    <t>fcec8643-5dc3-45db-9dd9-990e82e23701</t>
  </si>
  <si>
    <t>992baf15-766d-479a-9800-f08979f4c089</t>
  </si>
  <si>
    <t>d2309520-6cab-4b43-947f-f38e435d15a1</t>
  </si>
  <si>
    <t>b378e29e-695c-494d-bd16-03e91d71e9dc</t>
  </si>
  <si>
    <t>Juliane A Zeeb</t>
  </si>
  <si>
    <t>c0a1a258-596a-4406-b933-673c7b51d599</t>
  </si>
  <si>
    <t>76be4084-ea3a-4ac9-aa4b-d2edd9f41e0f</t>
  </si>
  <si>
    <t>5952c1cf-be30-43c5-be76-b46c265df2dd</t>
  </si>
  <si>
    <t>956a947e-e7cf-495f-87ce-cce434647775</t>
  </si>
  <si>
    <t>505e0cce-95a2-4470-a403-5cdf19222a17</t>
  </si>
  <si>
    <t>ad8bbc98-d775-4c75-bd6d-52c4a95608a3</t>
  </si>
  <si>
    <t>e06317db-e43e-4689-81da-c4b77928ad03</t>
  </si>
  <si>
    <t>18ed044b-304e-47b2-ac16-06889fe113e5</t>
  </si>
  <si>
    <t>5fc48cd3-8c18-46df-8712-f0f2e07248f9</t>
  </si>
  <si>
    <t>db27af70-d879-45fa-85ec-6b80102f59fe</t>
  </si>
  <si>
    <t>606fb42d-4187-41ef-a2ee-936ff60622a9</t>
  </si>
  <si>
    <t>9b27c288-c7df-42ed-92d2-39516a0fb4f8</t>
  </si>
  <si>
    <t>c3dcb722-20bd-4145-96eb-4c8381fb90f7</t>
  </si>
  <si>
    <t>815de2ce-83a3-495d-b2cc-fc8d075813ed</t>
  </si>
  <si>
    <t>3a9d8e7a-6050-43b5-8dec-c78ea27d8da2</t>
  </si>
  <si>
    <t>a3f8a8a4-7b33-4a0b-9482-c77328412e91</t>
  </si>
  <si>
    <t>06682a32-41c5-4a7f-ae53-0fd15df2b4ee</t>
  </si>
  <si>
    <t>23ba5004-602a-4e29-8d3c-082d1d954c21</t>
  </si>
  <si>
    <t>dc4eabb4-5a72-4c52-9eb8-7138127dd84e</t>
  </si>
  <si>
    <t>b179ade6-3ebc-4682-b79b-485508b2a325</t>
  </si>
  <si>
    <t>2535261f-fe2b-47b6-89e5-84a829f16675</t>
  </si>
  <si>
    <t>00c348f4-823e-48b6-9fcb-6819016a24d1</t>
  </si>
  <si>
    <t>€7.16</t>
  </si>
  <si>
    <t>€0.60</t>
  </si>
  <si>
    <t>€6.56</t>
  </si>
  <si>
    <t>b6fb5b98-8f60-4746-b8eb-1ee7282d787a</t>
  </si>
  <si>
    <t>57068343-7ea7-4c9f-a3f5-4b056f11fe0e</t>
  </si>
  <si>
    <t>e7ec4025-83e5-4ef9-9698-43c47bc10213</t>
  </si>
  <si>
    <t>fa1ac654-c38b-424a-a831-cde0408a83d3</t>
  </si>
  <si>
    <t>0f1b713f-0649-48ff-93e1-9b04a7983d6e</t>
  </si>
  <si>
    <t>af8029ec-b9f2-45c1-b277-9ce56441faf1</t>
  </si>
  <si>
    <t>f931e83b-08a5-444c-a1f0-492a58ab1292</t>
  </si>
  <si>
    <t>3ba1a757-eaf1-4a12-b0e6-ffa7c7fff20c</t>
  </si>
  <si>
    <t>€9.23</t>
  </si>
  <si>
    <t>€0.76</t>
  </si>
  <si>
    <t>€8.47</t>
  </si>
  <si>
    <t>08afc0e6-aedd-4807-821b-65d48b475638</t>
  </si>
  <si>
    <t>65099e0f-f6c6-4038-9b62-e845e0ffa5cd</t>
  </si>
  <si>
    <t>Matej Kincl</t>
  </si>
  <si>
    <t>82d9ab11-d203-46c5-82bd-03a4d7b1f8ce</t>
  </si>
  <si>
    <t>93b5fa3f-43d4-4210-aab6-2f4b269b4931</t>
  </si>
  <si>
    <t>245699a4-861a-451a-973c-407a8f078885</t>
  </si>
  <si>
    <t>d3dec4c8-a323-4f3a-8bec-6240ef3d62cd</t>
  </si>
  <si>
    <t>e2a933c4-771c-47af-8696-2fda78e59781</t>
  </si>
  <si>
    <t>c2ae0a51-e187-4cb9-b9fc-8faa4d292ed6</t>
  </si>
  <si>
    <t>35f2014c-ed64-461a-a4f3-91d9002e758c</t>
  </si>
  <si>
    <t>21b708bf-a2bb-47e9-a053-823e787013e9</t>
  </si>
  <si>
    <t>€0.64</t>
  </si>
  <si>
    <t>€6.52</t>
  </si>
  <si>
    <t>2a42ccf0-8d27-4aea-b57a-836bb79e3381</t>
  </si>
  <si>
    <t>2102a7f4-0783-4433-bce1-97534461fa57</t>
  </si>
  <si>
    <t>5cfd78f8-f2bf-4b4c-9744-22bb76ed256c</t>
  </si>
  <si>
    <t>c275ac99-5289-43c0-994f-f4522a2c12e3</t>
  </si>
  <si>
    <t>61f0487c-7d8a-4cc1-8dbf-70ef313cd3f8</t>
  </si>
  <si>
    <t>a41bad33-b858-41a6-975d-e4576bf80bbc</t>
  </si>
  <si>
    <t>df87bf64-9d67-4f21-ba6c-79b4e233078d</t>
  </si>
  <si>
    <t>9b200649-cc19-4ac9-b969-742396b40767</t>
  </si>
  <si>
    <t>7f4135f5-9978-4644-98f5-25c140f214be</t>
  </si>
  <si>
    <t>52de957d-8aeb-425a-ab57-80d241aa27bf</t>
  </si>
  <si>
    <t>8c82c81b-9643-4cea-bb73-43fd3e9c0361</t>
  </si>
  <si>
    <t>76e1aec7-ef68-4e4f-a526-8deea1fc7982</t>
  </si>
  <si>
    <t>ISOBEL MARIA HAM </t>
  </si>
  <si>
    <t>cff257a7-f372-4eb5-8dd9-f1a9293a1003</t>
  </si>
  <si>
    <t>396a38e2-4aac-40b8-8258-1da40259baaf</t>
  </si>
  <si>
    <t>€16.39</t>
  </si>
  <si>
    <t>€1.00</t>
  </si>
  <si>
    <t>€15.39</t>
  </si>
  <si>
    <t>c6f05e62-5c57-4d82-b68b-84c50bc3c7c8</t>
  </si>
  <si>
    <t>36a58429-50ee-4c75-a033-4404ac10c0d4</t>
  </si>
  <si>
    <t>488e73ca-43a4-44d3-9f9b-28df64e67d16</t>
  </si>
  <si>
    <t>4b4319eb-8908-420b-a8b4-c1e49ca933cb</t>
  </si>
  <si>
    <t>b3772a7b-5297-42f4-8e0e-34955d4fd097</t>
  </si>
  <si>
    <t>dcd4c9bc-66c9-47cc-9528-c7db81fe0813</t>
  </si>
  <si>
    <t>€18.46</t>
  </si>
  <si>
    <t>€1.21</t>
  </si>
  <si>
    <t>€17.25</t>
  </si>
  <si>
    <t>c0058629-a9c4-4ef9-8286-b0a00c8bf326</t>
  </si>
  <si>
    <t>2ca09280-33b3-45f9-b984-017302af5685</t>
  </si>
  <si>
    <t>a50fbd0a-caba-4462-a493-41b4d9f69034</t>
  </si>
  <si>
    <t>7c90a01b-759f-4358-9533-84253f2ece1b</t>
  </si>
  <si>
    <t>40d71c33-8b3e-4ebd-9ce7-bf9f6ebd0a4d</t>
  </si>
  <si>
    <t>8a0420d6-42ca-44ad-8c29-a5028bcd9399</t>
  </si>
  <si>
    <t>13bb538f-5b5c-4fd8-8b3f-0f6163e644d4</t>
  </si>
  <si>
    <t>36db180b-3056-4ee6-9569-1c598ef61a7e</t>
  </si>
  <si>
    <t>df6cca46-7bcb-4b25-8db6-98947890150c</t>
  </si>
  <si>
    <t>d246199e-dbca-4d16-9f45-4c6ac39edfb5</t>
  </si>
  <si>
    <t>b17a2a44-ca9c-4dc0-9fa8-c50b17356f0f</t>
  </si>
  <si>
    <t>a7cfc2a7-e52a-49f5-b64d-1a4b4c7c5ce4</t>
  </si>
  <si>
    <t>740ac45d-aa9e-44ea-840f-b304419d182e</t>
  </si>
  <si>
    <t>619c9b23-9476-4ad5-8d23-ac8977bb7aaa</t>
  </si>
  <si>
    <t>065ecdf4-1b79-4301-8505-b6ab7eff2f7c</t>
  </si>
  <si>
    <t>16aac3b3-c9b4-485d-9319-b5a855e8e2de</t>
  </si>
  <si>
    <t>1911e8bf-283a-4796-bda0-c414fdd25387</t>
  </si>
  <si>
    <t>15912f58-7d8b-496f-a0c7-f7d9c8724883</t>
  </si>
  <si>
    <t>a4776292-f1de-4a66-80bf-785c2ddadba0</t>
  </si>
  <si>
    <t>71f7a7ba-537c-4492-bcf9-95d8cbc1075a</t>
  </si>
  <si>
    <t>58b7f9f5-43a2-4157-aa08-ef893fa4ac8d</t>
  </si>
  <si>
    <t>40dca092-1e69-4f27-b640-3ba3e0928401</t>
  </si>
  <si>
    <t>e5777abb-2f54-4663-8da6-a0f194bef0b9</t>
  </si>
  <si>
    <t>f5529848-c13f-485e-b3de-4d4f644923ef</t>
  </si>
  <si>
    <t>5863a377-4580-4dbf-89b6-ae001304451e</t>
  </si>
  <si>
    <t>364ccf3f-252c-4d15-a4b1-3b98b6e06961</t>
  </si>
  <si>
    <t>dd35eb39-704a-4f86-bdb7-8fbe80b1c79c</t>
  </si>
  <si>
    <t>dc83af54-2fe9-486b-963b-6d80b9dd8531</t>
  </si>
  <si>
    <t>b9d88bc4-4456-4079-9ccf-50abe46bd160</t>
  </si>
  <si>
    <t>89cf1993-b323-4428-9e63-c60592a4f332</t>
  </si>
  <si>
    <t>a0ba6ec1-cecc-4a12-84ca-857c362dcf0c</t>
  </si>
  <si>
    <t>68003ed2-7ff8-4870-acc7-c73815546394</t>
  </si>
  <si>
    <t>3cb9db54-802c-4c7c-a21d-27a6551633b5</t>
  </si>
  <si>
    <t>69a96921-ce15-466a-b14f-8b6d0c3dd5cd</t>
  </si>
  <si>
    <t>55d43f65-85c3-4de8-aa50-cace1d418c91</t>
  </si>
  <si>
    <t>Léane L'aot </t>
  </si>
  <si>
    <t>00a4ff43-4c86-4d18-84a1-3abcac761653</t>
  </si>
  <si>
    <t>7d09b572-3e12-4717-9112-adc62eea0616</t>
  </si>
  <si>
    <t>c3ab4712-d279-46f7-89a9-4a868162fc3c</t>
  </si>
  <si>
    <t>f0fbd277-9710-4dbc-ba0b-af5f89d02248</t>
  </si>
  <si>
    <t>d4b5caae-65d6-4a2f-b6a4-e65a0f8c68ec</t>
  </si>
  <si>
    <t>5c71587b-9a64-4ab3-becf-ad378c599ff8</t>
  </si>
  <si>
    <t>3341095f-ebdf-43b0-b9ba-5b885a4ee165</t>
  </si>
  <si>
    <t>6069d1e0-8f2d-45ba-ae25-911ec6eafed3</t>
  </si>
  <si>
    <t>56d9d5f4-7ddb-4c65-9b20-9cd57b44a9af</t>
  </si>
  <si>
    <t>dd5ddabc-3d81-4d2e-bb00-1191979bc51b</t>
  </si>
  <si>
    <t>e5079fc3-c145-45f2-843a-323100b5b72c</t>
  </si>
  <si>
    <t>c7b7c190-5103-45bd-8222-c0830c5fb201</t>
  </si>
  <si>
    <t>42b2ada8-890e-49fd-b9b4-1c23dd7d66da</t>
  </si>
  <si>
    <t>aae38571-3dae-4f01-90cd-6e5159944c50</t>
  </si>
  <si>
    <t>3f251188-28c3-4055-93af-afcd88fb4b3e</t>
  </si>
  <si>
    <t>9911250f-a392-4e51-8336-3d2a96eff2dc</t>
  </si>
  <si>
    <t>8b650402-8e55-4f37-b226-bf13460bba25</t>
  </si>
  <si>
    <t>c290c158-93ad-4cfe-8822-7adbf0c23801</t>
  </si>
  <si>
    <t>e1393768-21ed-4710-aeee-6ab6ead0063c</t>
  </si>
  <si>
    <t>0b2d8392-1161-4b04-8362-4a7437994734</t>
  </si>
  <si>
    <t>b56ef348-ca8a-4dd2-97aa-63a1ee37bbe7</t>
  </si>
  <si>
    <t>9f0fd28c-d874-401b-a911-360b35ac9798</t>
  </si>
  <si>
    <t>436b4fe7-a352-45c6-97bf-484eb724671d</t>
  </si>
  <si>
    <t>b86048ea-66de-4140-be66-0ed119e39df9</t>
  </si>
  <si>
    <t>f8320102-436a-425b-b288-7a96b1c3b430</t>
  </si>
  <si>
    <t>83f58ba4-339c-4e39-a8b2-fe644658cf62</t>
  </si>
  <si>
    <t>76500ff2-5c90-469a-90e4-42f83a9c90d6</t>
  </si>
  <si>
    <t>bea4cf3f-da58-4147-a05a-72526040de71</t>
  </si>
  <si>
    <t>d81806b8-3097-474a-9e39-ef487853c7af</t>
  </si>
  <si>
    <t>6f3ea588-734b-4b67-ab9b-200dbd120212</t>
  </si>
  <si>
    <t>572f5e1d-058b-48c6-b3fe-a363ecee83f2</t>
  </si>
  <si>
    <t>41a37004-834f-4258-8432-c5566591c8c1</t>
  </si>
  <si>
    <t>be32e5b0-93d7-4f40-b117-b1da46a0adc5</t>
  </si>
  <si>
    <t>23c9eca4-16e5-4f46-826e-896ae00ab311</t>
  </si>
  <si>
    <t>0bd4bbeb-b88e-45dd-88b4-7ba05f775e3b</t>
  </si>
  <si>
    <t>74928a6a-234a-45b9-8469-9f98085192d8</t>
  </si>
  <si>
    <t>fcd074ad-6ead-49b7-9e41-dc82df56501c</t>
  </si>
  <si>
    <t>4f8f5f77-0000-4c9f-bef3-e577fa05e8dd</t>
  </si>
  <si>
    <t>7acebc37-174d-41a3-ad57-9bc1d13b8a69</t>
  </si>
  <si>
    <t>€0.70</t>
  </si>
  <si>
    <t>€8.53</t>
  </si>
  <si>
    <t>903aabba-86c6-4067-92ba-f543ecee0c6c</t>
  </si>
  <si>
    <t>23d59017-0e77-40fe-829a-8775d33ddb84</t>
  </si>
  <si>
    <t>473487ab-1ea7-4887-9615-01beb220c6de</t>
  </si>
  <si>
    <t>3d61fe44-f0f3-40c0-88a6-99d41fbfee56</t>
  </si>
  <si>
    <t>643be036-c1ec-4625-a243-03d74fc850d8</t>
  </si>
  <si>
    <t>57248c34-2370-498c-8e22-765c7a4e6e40</t>
  </si>
  <si>
    <t>59c1d891-8bec-4f00-83a5-fccdf19d90ce</t>
  </si>
  <si>
    <t>2c87c182-0a05-4a89-bc07-41d783e0da98</t>
  </si>
  <si>
    <t>1e65c42b-34bf-49df-9ec5-4f4bca66e49a</t>
  </si>
  <si>
    <t>a6557a4b-4c50-4bcd-9419-be79ae99631f</t>
  </si>
  <si>
    <t>51a165a7-fb9a-46a0-b683-5cc88aa0aab7</t>
  </si>
  <si>
    <t>2cb9325d-82dc-46f1-920f-a6dc7158cb0b</t>
  </si>
  <si>
    <t>bf9686c1-d296-4e3b-a855-d9a986c17ce5</t>
  </si>
  <si>
    <t>b436a6ac-8dc9-4cce-9ee5-6519281d0c6b</t>
  </si>
  <si>
    <t>be9ade41-c1b9-4830-9279-717b1db912f5</t>
  </si>
  <si>
    <t>dab584bb-84da-410f-8f64-6269ce176239</t>
  </si>
  <si>
    <t>2bb39c62-d7af-4b86-86ce-cc8cd31165d8</t>
  </si>
  <si>
    <t>514a82e7-3c6d-414d-9b54-03f8fe9795fe</t>
  </si>
  <si>
    <t>822184e6-523e-4707-8b41-155d61ea6a83</t>
  </si>
  <si>
    <t>Deniz Kayalak</t>
  </si>
  <si>
    <t>deaab515-afc7-498a-bf11-3fa8d6999768</t>
  </si>
  <si>
    <t>1b376b21-ad6b-45d2-a84f-724ad92e11d0</t>
  </si>
  <si>
    <t>60143cf9-7aa6-4b28-a79a-e11f0a2cf538</t>
  </si>
  <si>
    <t>ca31ccc6-f20d-4e19-bd3e-6497c9e40f25</t>
  </si>
  <si>
    <t>e1f061b0-5160-4721-8880-8fef62e0a720</t>
  </si>
  <si>
    <t>f732dc03-1c75-4708-96d4-726591ab4765</t>
  </si>
  <si>
    <t>d2e8351f-5aeb-4a42-a73c-294a5cb58509</t>
  </si>
  <si>
    <t>84496aa1-b907-4b65-9d00-8d3b4861b6d2</t>
  </si>
  <si>
    <t>61318424-8f77-4e4b-a576-d770550f6e90</t>
  </si>
  <si>
    <t>1aaccc0b-dc64-496c-8645-e7db305cc0ba</t>
  </si>
  <si>
    <t>f6a7d27d-411a-4f53-a2b2-ce1d79d9fa72</t>
  </si>
  <si>
    <t>a84ee3ea-9af7-4f1e-8e3a-01ec4c8c5b76</t>
  </si>
  <si>
    <t>396c3ff1-4c65-4f07-b4e4-9254998a4345</t>
  </si>
  <si>
    <t>18e8f1d2-306b-47ea-abef-718adb8fa3e3</t>
  </si>
  <si>
    <t>Noah Kugener</t>
  </si>
  <si>
    <t>de4fb3d0-f530-4a1e-bed6-0396dcdc9089</t>
  </si>
  <si>
    <t>e3ba542e-449e-4581-8923-ce03cdb32121</t>
  </si>
  <si>
    <t>1852312a-3883-47d9-9e89-c33ee1764b7a</t>
  </si>
  <si>
    <t>2e3f852e-372e-4a7e-ac42-f71464a0eb91</t>
  </si>
  <si>
    <t>03b2af11-d542-424d-a567-aab03633eb6a</t>
  </si>
  <si>
    <t>1724e57d-aa69-4293-87d1-85566eb68851</t>
  </si>
  <si>
    <t>49f8e327-73c3-4fb1-9486-49db12698255</t>
  </si>
  <si>
    <t>7c31373a-eff3-46b7-aaca-24eea30364c5</t>
  </si>
  <si>
    <t>76fe2da1-bc1b-4b5b-963a-3d1a742514dc</t>
  </si>
  <si>
    <t>c6c5b885-4a32-431c-a927-f480b1d812d5</t>
  </si>
  <si>
    <t>Anna Rumpf</t>
  </si>
  <si>
    <t>16e232f8-2ad4-4c3a-b788-6137ade31db4</t>
  </si>
  <si>
    <t>91b25c74-0132-4092-9d61-e407af6905bd</t>
  </si>
  <si>
    <t>Ignacy Gawlowski</t>
  </si>
  <si>
    <t>1913d594-57d6-40b2-81aa-3f6acaa7921e</t>
  </si>
  <si>
    <t>20a6b6dc-64a6-4526-86fc-2dae51cb39bc</t>
  </si>
  <si>
    <t>b0bb8ade-da96-4d9c-971b-def3730927a6</t>
  </si>
  <si>
    <t>2484a9ff-66b5-408b-9678-4bdc413ddcfb</t>
  </si>
  <si>
    <t>€2.56</t>
  </si>
  <si>
    <t>€0.41</t>
  </si>
  <si>
    <t>€2.15</t>
  </si>
  <si>
    <t>94dca087-5629-4ff3-a999-d47501b69b5c</t>
  </si>
  <si>
    <t>fd675951-9fad-4cb1-9990-d44489d5e723</t>
  </si>
  <si>
    <t>5ce632fb-36e7-4c0b-a967-289d68b87773</t>
  </si>
  <si>
    <t>63368de4-8e4f-4301-889f-d3714c6a3ebc</t>
  </si>
  <si>
    <t>a860b778-fb77-4ae5-8245-668c2bac9cd9</t>
  </si>
  <si>
    <t>091b232c-28fb-4e10-b65b-31b6213c51bb</t>
  </si>
  <si>
    <t>29ead744-9f70-474f-a533-a2ba7f117ce0</t>
  </si>
  <si>
    <t>d109a749-3770-4aa5-9cd5-201407a45cca</t>
  </si>
  <si>
    <t>6411f0da-1e85-452b-ad90-7780ae7e3832</t>
  </si>
  <si>
    <t>d79188bc-c60e-4831-9ac8-f76248080990</t>
  </si>
  <si>
    <t>7a514f3b-3b26-4366-81e3-3b74c43cc733</t>
  </si>
  <si>
    <t>3800d889-b9ed-47ff-8b35-d2267053bbf0</t>
  </si>
  <si>
    <t>58a55ea4-04a7-497d-aa6e-6bafa4535379</t>
  </si>
  <si>
    <t>3ce9e1d3-9bf0-47b5-9701-54a22ab0c0d7</t>
  </si>
  <si>
    <t>MARTA MORENO FORTUNY</t>
  </si>
  <si>
    <t>aa760be2-4e2e-4adb-898c-a27b6a797261</t>
  </si>
  <si>
    <t>3735cd2e-0a64-4a5c-aaa3-887d48710b42</t>
  </si>
  <si>
    <t>b6834d6a-0dbb-429d-9f30-08fde460ecfd</t>
  </si>
  <si>
    <t>655ccf8d-a6b2-4902-b9fd-72c49b92394a</t>
  </si>
  <si>
    <t>a8cea934-900f-4789-a691-2e364a0a07bd</t>
  </si>
  <si>
    <t>f8aaf9b0-1e42-49f0-9ec2-afb1b347eb3f</t>
  </si>
  <si>
    <t>ac92fce4-eb90-4670-8d0d-4e8fd396f2ae</t>
  </si>
  <si>
    <t>24bcb01b-1cd3-42d9-b2a4-f20618f2b88c</t>
  </si>
  <si>
    <t>b511415c-0529-4aeb-ab00-407d37b85830</t>
  </si>
  <si>
    <t>f8d841e5-01d6-4472-b5df-8375dc3b0cc1</t>
  </si>
  <si>
    <t>244c0f9c-8676-4e23-8506-82ba12e1d7c7</t>
  </si>
  <si>
    <t>7bd3a03e-6f29-417c-9f3d-dc935acd65e1</t>
  </si>
  <si>
    <t>41693657-3236-4335-be8a-0db85ceb6c73</t>
  </si>
  <si>
    <t>€0.42</t>
  </si>
  <si>
    <t>€2.14</t>
  </si>
  <si>
    <t>25312252-c284-4dd8-800d-8a3d46a1675e</t>
  </si>
  <si>
    <t>3c36b02c-46b3-49ad-96e5-66dca754ccf6</t>
  </si>
  <si>
    <t>5f95ca31-4aac-4a59-89ab-6930fbf93f49</t>
  </si>
  <si>
    <t>dcfdfd22-bbf0-454f-8988-8fddb1c29941</t>
  </si>
  <si>
    <t>34844193-c9fc-4ac2-b0fe-bbe3298b72cc</t>
  </si>
  <si>
    <t>91c02ec5-2a16-47a0-85d8-c21f66e340d6</t>
  </si>
  <si>
    <t>€7.17</t>
  </si>
  <si>
    <t>€6.57</t>
  </si>
  <si>
    <t>5643731d-2a43-4c72-bef4-d6fb0ac817ae</t>
  </si>
  <si>
    <t>fc8020a8-9933-4207-9b66-a8ee00ec122e</t>
  </si>
  <si>
    <t>986bea79-d991-4ad9-8172-5a61034c4164</t>
  </si>
  <si>
    <t>0f639f18-c586-4203-a435-a1ce088540e6</t>
  </si>
  <si>
    <t>41b12a8a-c496-46a9-9cfa-fa1d55988d99</t>
  </si>
  <si>
    <t>ca623365-cc4f-41a2-b8d4-819746d6d344</t>
  </si>
  <si>
    <t>d8e1a526-597c-43be-87d0-fc86264e84e5</t>
  </si>
  <si>
    <t>baf358e1-3f63-4e40-bb7c-2b656ce9797c</t>
  </si>
  <si>
    <t>0414d58f-2305-4e58-b4b7-0d05a23fd02e</t>
  </si>
  <si>
    <t>3badb9d8-c27f-40c8-91a0-3b5c0944e980</t>
  </si>
  <si>
    <t>798312b7-d5c3-4976-9215-20cc7384973f</t>
  </si>
  <si>
    <t>57ea77ab-b186-4d70-a054-08a58197b082</t>
  </si>
  <si>
    <t>76921fc6-0417-4c27-a721-fabe1c641c81</t>
  </si>
  <si>
    <t>2be6b8d3-5d36-480e-8cf1-d5cf249d38b8</t>
  </si>
  <si>
    <t>8dcde17d-4024-4c18-99c4-c9cf3af6533e</t>
  </si>
  <si>
    <t>aa43facd-a785-4fbd-99b8-4c63fe9d3c82</t>
  </si>
  <si>
    <t>8c486626-82e6-44fc-8461-d97536868d3c</t>
  </si>
  <si>
    <t>744829b5-c6f4-4c99-b6bd-4d0b5c9c12e5</t>
  </si>
  <si>
    <t>HANNA  SCHMIDT </t>
  </si>
  <si>
    <t>1bc3ed23-a745-42dd-9798-f0681db33c01</t>
  </si>
  <si>
    <t>2d4732cb-5bb5-4429-abea-3fbc616b7b8a</t>
  </si>
  <si>
    <t>31918acd-5a1d-49fd-8e91-cc5b4f6c5c7f</t>
  </si>
  <si>
    <t>b7d0a4f4-092b-4d29-8a7b-99379607889c</t>
  </si>
  <si>
    <t>e4f8d107-4552-4819-a751-2a7f9c4007fc</t>
  </si>
  <si>
    <t>269ff9e3-1b65-4e78-b18f-1882da0d2d52</t>
  </si>
  <si>
    <t>88575cde-6e3f-4856-aa7b-32539d4c0fcb</t>
  </si>
  <si>
    <t>a7d9ee00-b31c-49ce-93bd-8c6a53543aff</t>
  </si>
  <si>
    <t>56013572-5faf-4c3b-acec-18a45efb9c55</t>
  </si>
  <si>
    <t>Jordi Brandt</t>
  </si>
  <si>
    <t>4b823b6f-6244-4adf-9231-d4b6aa574c85</t>
  </si>
  <si>
    <t>9e5df086-4430-48ee-b175-ddaabf38dd56</t>
  </si>
  <si>
    <t>89bb66a2-9029-43e1-a072-49e426171de9</t>
  </si>
  <si>
    <t>b9e13d4f-02e1-4322-8c8f-59be27d3dbb2</t>
  </si>
  <si>
    <t>Irene Concejo Gestoso</t>
  </si>
  <si>
    <t>04d1a221-c022-414d-8fe5-6513cbf8e986</t>
  </si>
  <si>
    <t>804bc83a-0442-434a-886b-b2866490cf35</t>
  </si>
  <si>
    <t>f61de939-0dda-4afd-ba67-debce9974723</t>
  </si>
  <si>
    <t>c6d04d52-1d8f-4aca-ab64-26b55243482f</t>
  </si>
  <si>
    <t>9a4924dd-fa89-4998-9e18-a918533f9924</t>
  </si>
  <si>
    <t>3697541a-f9c4-458b-bab3-8afa80ae606b</t>
  </si>
  <si>
    <t>549124bf-bb23-45d8-bb00-5508e5124f1f</t>
  </si>
  <si>
    <t>c8fe47f9-4c59-45c1-8cea-6953864c338b</t>
  </si>
  <si>
    <t>cc431dd5-2011-4f62-bf42-5d65ba515f9b</t>
  </si>
  <si>
    <t>aac7f054-b02d-4c38-9ec1-ecd02009018b</t>
  </si>
  <si>
    <t>3bf38667-1d36-4eb4-9a59-6d0047ee2283</t>
  </si>
  <si>
    <t>c6fbe98b-c8d7-447a-b0ba-c29e0db925da</t>
  </si>
  <si>
    <t>a53adcf4-cb48-4cb1-a032-5f093f096933</t>
  </si>
  <si>
    <t>5de540a4-3551-4552-b8df-c006a68b11ab</t>
  </si>
  <si>
    <t>c9e2d764-7863-4f04-a139-32cc2b3c90c8</t>
  </si>
  <si>
    <t>6005d440-80d2-4d99-9711-8db8a8b73ed3</t>
  </si>
  <si>
    <t>5331ca58-13a3-435e-abf1-651b49a1ed26</t>
  </si>
  <si>
    <t>4ca23d8c-af39-40cb-af61-0912b7789878</t>
  </si>
  <si>
    <t>0458ad5e-599b-4a0a-9a86-615066b675ea</t>
  </si>
  <si>
    <t>2b626f93-0242-477b-b7fd-59ea70ccfb35</t>
  </si>
  <si>
    <t>fd55c9e4-53a7-4c9e-9f8f-2ac542cd1fbf</t>
  </si>
  <si>
    <t>069fd475-affb-4239-8cf7-85e19c22596b</t>
  </si>
  <si>
    <t>82e5f1ed-fcb9-4fd4-bcb8-9193bed33ed9</t>
  </si>
  <si>
    <t>64f1334f-2d5a-4c73-ad21-f3d7f8358438</t>
  </si>
  <si>
    <t>6dd4e85b-79c6-49e4-8a4f-3e6899061506</t>
  </si>
  <si>
    <t>de5e8382-633f-42f2-9a75-4e572350b578</t>
  </si>
  <si>
    <t>6e8c6223-8945-4195-8bd9-2404c3695e4b</t>
  </si>
  <si>
    <t>99cb7892-5e3d-48cd-960d-1c9b2f15ea5a</t>
  </si>
  <si>
    <t>4670a0b8-70b9-4baf-8338-88e0a5086922</t>
  </si>
  <si>
    <t>db77d6ef-3b81-40cc-ace6-6de8d02da92a</t>
  </si>
  <si>
    <t>9e248b96-9ab9-4f1d-9fd4-04fa72587533</t>
  </si>
  <si>
    <t>aee21452-c80a-4980-971a-dde388993553</t>
  </si>
  <si>
    <t>dabb619c-486f-40d3-a0d5-ad875e6b5fb4</t>
  </si>
  <si>
    <t>00ef5cc5-d31b-44ed-b85e-233e2bdc226d</t>
  </si>
  <si>
    <t>a8b11b9f-29f6-4a8c-b466-49b42a4adc9d</t>
  </si>
  <si>
    <t>262338e3-11f6-4acc-8b92-05f7ebdccfb6</t>
  </si>
  <si>
    <t>373dd0ee-0250-4ddf-9011-8da518533960</t>
  </si>
  <si>
    <t>0177ab68-6402-4982-9387-da19cb2e4fe4</t>
  </si>
  <si>
    <t>b4d182b7-1d84-478a-b7ab-33dc5019483c</t>
  </si>
  <si>
    <t>925add9a-4d73-4edf-83c8-2797f8e76466</t>
  </si>
  <si>
    <t>f0e65abe-4da4-4901-8315-6ae0d18da2c1</t>
  </si>
  <si>
    <t>1bb74358-a640-4dbb-b2b9-b067fe97373a</t>
  </si>
  <si>
    <t>c8606ad0-7559-4e08-927c-f756cba2c557</t>
  </si>
  <si>
    <t>f0b65355-aa00-48d0-a857-fd0a4d00b448</t>
  </si>
  <si>
    <t>a9a85469-76d5-40ce-96d0-f9dda908b924</t>
  </si>
  <si>
    <t>5226a06b-2a97-44c3-a4d7-4ea05090a68f</t>
  </si>
  <si>
    <t>9e8e1856-930e-4919-afab-3f272fc0daa6</t>
  </si>
  <si>
    <t>ff4c9c98-5e1f-4bc8-9ebe-26ea81eed4cb</t>
  </si>
  <si>
    <t>b85fd90f-4bc4-4ed3-947b-1d834e790288</t>
  </si>
  <si>
    <t>b388c9fa-9721-4483-a244-31419ac4c8cd</t>
  </si>
  <si>
    <t>7c804c72-5c3e-4b7b-840a-de16c0a957f5</t>
  </si>
  <si>
    <t>86ef9057-4ab1-47be-b51f-273397aff500</t>
  </si>
  <si>
    <t>d4865dc2-3c6f-45f4-b140-3bda12afebe7</t>
  </si>
  <si>
    <t>e8aac5c5-c377-4d74-8761-483edf55dc1e</t>
  </si>
  <si>
    <t>b9d122e7-7d49-4cf6-9fe4-ff364194aaa1</t>
  </si>
  <si>
    <t>fef39b32-cd8a-4012-8048-61896f3b9567</t>
  </si>
  <si>
    <t>e41d9ddb-5943-4329-becc-16d6e7c32788</t>
  </si>
  <si>
    <t>ac3b47e9-32eb-4359-a9aa-c7a7a954b577</t>
  </si>
  <si>
    <t>fdb50558-dba0-46f1-a4d4-6993fd7b76d3</t>
  </si>
  <si>
    <t>ecc93f77-7c81-4975-90a7-138c7d70f796</t>
  </si>
  <si>
    <t>cf2053a5-fd19-4dfc-8e10-1decb040d62a</t>
  </si>
  <si>
    <t>557dafa8-cfcf-4a2e-99e0-71814a355b63</t>
  </si>
  <si>
    <t>95a360ab-5745-453c-9e52-6aef1129d4e6</t>
  </si>
  <si>
    <t>f2319bbb-c2e3-45aa-aef1-935f5341c129</t>
  </si>
  <si>
    <t>29205e13-5406-417a-9947-7db3c954e9f7</t>
  </si>
  <si>
    <t>62a4a0ea-ab39-4293-9b78-635669ab49d4</t>
  </si>
  <si>
    <t>2be68293-f97e-4bb2-b508-71fc1532cbae</t>
  </si>
  <si>
    <t>Anna Iding</t>
  </si>
  <si>
    <t>€1.10</t>
  </si>
  <si>
    <t>€17.36</t>
  </si>
  <si>
    <t>c13c93ee-d8b5-48ea-9ef6-1672adf232c7</t>
  </si>
  <si>
    <t>9c7ba69e-c71e-4770-af22-caa008252751</t>
  </si>
  <si>
    <t>43b9c30d-ef0d-4f0d-b21e-2326bb8c8cc9</t>
  </si>
  <si>
    <t>4a5cd2e0-9909-417c-98ec-c70cec225804</t>
  </si>
  <si>
    <t>9ff512d9-ffa3-46e7-a33e-9252fa2b312c</t>
  </si>
  <si>
    <t>0c861563-4510-4d17-ab2d-b5b50808b011</t>
  </si>
  <si>
    <t>Jakob Schmidt</t>
  </si>
  <si>
    <t>€36.92</t>
  </si>
  <si>
    <t>€1.90</t>
  </si>
  <si>
    <t>€35.02</t>
  </si>
  <si>
    <t>3ce876c4-ba39-436b-8a28-9fb7e311c1bb</t>
  </si>
  <si>
    <t>2fbf14c1-3571-442e-844f-90b66a570685</t>
  </si>
  <si>
    <t>6ef2197b-4231-41bd-81c8-77796553c520</t>
  </si>
  <si>
    <t>0080cb02-64f3-4f7d-acb3-0878f948dad9</t>
  </si>
  <si>
    <t>Isa-Mavie Schrader</t>
  </si>
  <si>
    <t>af3108fc-9980-44fa-a873-a117ac864239</t>
  </si>
  <si>
    <t>e643d1bf-085f-4130-9a43-205e8d6cb9a6</t>
  </si>
  <si>
    <t>064dce45-b180-4000-ba67-2d2cf41e7d2f</t>
  </si>
  <si>
    <t>90f54dfb-1b56-4718-b824-23d1aa645560</t>
  </si>
  <si>
    <t>Yannic Alexander</t>
  </si>
  <si>
    <t>34d1e458-8f0c-4382-ada2-fb9393b2cf1f</t>
  </si>
  <si>
    <t>fcb54c1a-4789-4582-91a7-12ffd3eaa9b5</t>
  </si>
  <si>
    <t>4f65aee9-f4dd-4721-9be1-0f77edab285b</t>
  </si>
  <si>
    <t>444cf1d0-74cc-48e2-92e6-79bcbaf0b798</t>
  </si>
  <si>
    <t>4c0b3db9-44af-4796-9bf4-f02c8d1a30a1</t>
  </si>
  <si>
    <t>585f75e0-3de2-44ea-9a68-e2383577bd13</t>
  </si>
  <si>
    <t>0bf9b688-6802-4f7b-befb-af95253c84d8</t>
  </si>
  <si>
    <t>2bb840f1-aa09-41a6-9865-4e59f0d40ec0</t>
  </si>
  <si>
    <t>a7a56502-f26d-406c-bf31-b5c52dc884d9</t>
  </si>
  <si>
    <t>e0d0ddb6-f035-403b-b723-81d375f76f7d</t>
  </si>
  <si>
    <t>e06c4b29-7ec8-44e0-8fcf-1b071b5bcfde</t>
  </si>
  <si>
    <t>ae2fbd48-3c97-4067-8b31-45bd9ffca16e</t>
  </si>
  <si>
    <t>Hanna Yona Holst</t>
  </si>
  <si>
    <t>68ff5d60-3a92-40d6-a8c3-4c2be57178ca</t>
  </si>
  <si>
    <t>798165ac-8b30-4a15-9c5d-bac6dd6db62f</t>
  </si>
  <si>
    <t>53a6cece-bcab-45fc-bf93-c2cdb2820e56</t>
  </si>
  <si>
    <t>e29dee4a-6b19-4cf3-b829-f717137e22f6</t>
  </si>
  <si>
    <t>98da1707-01a4-4f0a-8a3b-13b2fd0e4070</t>
  </si>
  <si>
    <t>42f2198b-667f-4d1c-8ba7-fe7a1e2fe24c</t>
  </si>
  <si>
    <t>10eb39f6-1cb3-4be3-9e81-cedf161d6157</t>
  </si>
  <si>
    <t>48f1b27f-e339-4132-938e-9bf33b980115</t>
  </si>
  <si>
    <t>55e91cc0-aa40-4d9f-b9db-e6cf16104d6f</t>
  </si>
  <si>
    <t>0fd3f26f-bed6-4306-9e96-aba5104032a3</t>
  </si>
  <si>
    <t>0a06543c-cbf7-4c31-b5d1-c60618a2879f</t>
  </si>
  <si>
    <t>b7adc8da-6dfe-4311-b8e9-4e6b4d076ef9</t>
  </si>
  <si>
    <t>432b6390-de63-49fe-97d7-8af4d065a89b</t>
  </si>
  <si>
    <t>0b6c38e3-fce5-420d-9ee3-65e9297f9253</t>
  </si>
  <si>
    <t>Paloma Saez Arce</t>
  </si>
  <si>
    <t>03b66090-34cf-4e09-b553-161901f2735c</t>
  </si>
  <si>
    <t>b23ae165-601d-4d43-87b4-4739e4dc1e48</t>
  </si>
  <si>
    <t>1e828980-a839-42e0-879d-6649166c4215</t>
  </si>
  <si>
    <t>6192233f-0def-48b8-a110-84f0a43c254e</t>
  </si>
  <si>
    <t>46c5e83d-75a1-403a-961f-21aa8b396875</t>
  </si>
  <si>
    <t>3894d7aa-8541-43c5-97f7-1c1cd186a2fd</t>
  </si>
  <si>
    <t>a84583e2-67a6-46a5-89ab-92edce674d2c</t>
  </si>
  <si>
    <t>cc24fd24-d44a-4146-ae61-b42dbb981c57</t>
  </si>
  <si>
    <t>9bf76d14-1347-4019-8cc7-ceccb0e58027</t>
  </si>
  <si>
    <t>6cea406d-b623-4fa1-8623-f788177e184d</t>
  </si>
  <si>
    <t>69753763-7559-4fbc-ba05-d5d44b51b259</t>
  </si>
  <si>
    <t>e92e8429-20ba-4493-8cc2-715b2bfd5445</t>
  </si>
  <si>
    <t>516436b4-1be4-4175-a1d4-6f78d1e3add4</t>
  </si>
  <si>
    <t>a53b03fe-a966-4116-a0a4-d572766b4be4</t>
  </si>
  <si>
    <t>a62e127a-33ff-4dcf-8e33-942bcee73970</t>
  </si>
  <si>
    <t>a41e0c6b-a454-4d0a-80a1-ae06dc48ed95</t>
  </si>
  <si>
    <t>c374ffda-f20b-4a5e-90c7-7f0eb55b1aba</t>
  </si>
  <si>
    <t>5b6e50b7-62c8-42c0-871f-fd2e5899c796</t>
  </si>
  <si>
    <t>ad7efcf1-cbf6-4c02-ad3a-a2112951bc51</t>
  </si>
  <si>
    <t>c527e4d6-e521-4c2a-8a4a-79d047f2ea8c</t>
  </si>
  <si>
    <t>a16c5624-8b44-493c-8111-4306b7b17a49</t>
  </si>
  <si>
    <t>cca080ce-4fb0-4e6c-8e33-f1a062c3255a</t>
  </si>
  <si>
    <t>9c47d081-8c68-4184-bc1d-b33b2c82e4b0</t>
  </si>
  <si>
    <t>8c334adc-e25a-4abb-9a39-859b49f4fa94</t>
  </si>
  <si>
    <t>d8464d40-aea5-4b0d-b45e-ea1769a13023</t>
  </si>
  <si>
    <t>11c2fded-e6a5-409b-8dc4-24d84691a476</t>
  </si>
  <si>
    <t>8cace54f-1ad8-426d-8a76-157236fa059e</t>
  </si>
  <si>
    <t>6c8bb176-fbfc-4147-be51-4aded528ba4c</t>
  </si>
  <si>
    <t>9bd43581-0989-4a42-b2fc-b5634ef11d3e</t>
  </si>
  <si>
    <t>2b236975-1274-4f64-8bc1-60be0da6cc2d</t>
  </si>
  <si>
    <t>45faab9c-d967-4e01-89d8-e30534eb6517</t>
  </si>
  <si>
    <t>21d4fe6f-0998-4ec4-ad1e-63d764613eb9</t>
  </si>
  <si>
    <t>6e91fd8f-dc6f-4c49-ae57-c825b58726e0</t>
  </si>
  <si>
    <t>a50ed758-3cbf-45b2-a6d3-2ce8f6e7b2ae</t>
  </si>
  <si>
    <t>f8189b94-16ca-4a19-a2f9-6a3798833703</t>
  </si>
  <si>
    <t>f7568e13-c1d4-4e2e-83a9-c1a1c812dc31</t>
  </si>
  <si>
    <t>def123bc-dca4-4171-a971-25351f2c0b9d</t>
  </si>
  <si>
    <t>ed366ed6-89bd-4587-ae45-557164a15e73</t>
  </si>
  <si>
    <t>35b6d592-25b5-4f11-8fa6-87dff9fc0db4</t>
  </si>
  <si>
    <t>f527b810-86f4-42c6-80c6-1add24daa208</t>
  </si>
  <si>
    <t>53477e1b-fd62-4c28-b689-fefc4a9b5f36</t>
  </si>
  <si>
    <t>4c008e45-8510-4de0-86a8-c0e524ab4dfb</t>
  </si>
  <si>
    <t>1fd5ee85-db9c-4926-9cff-d1e32a9eeafc</t>
  </si>
  <si>
    <t>0da7e892-a36a-4752-a71d-0de8dc89a2c8</t>
  </si>
  <si>
    <t>Barbara C Gandia Gimeno</t>
  </si>
  <si>
    <t>€1.40</t>
  </si>
  <si>
    <t>€56.60</t>
  </si>
  <si>
    <t>1e71acf1-4618-4999-b1af-9b18dc12c3cc</t>
  </si>
  <si>
    <t>1044608f-6e64-4124-ac57-4c582a19ccc3</t>
  </si>
  <si>
    <t>21235968-1b50-4774-9f8e-c71f30f8d55b</t>
  </si>
  <si>
    <t>d958db86-150b-48cd-be0f-9049d0a1f10f</t>
  </si>
  <si>
    <t>e4b66539-6ba5-4558-b7d0-5e849d7f2549</t>
  </si>
  <si>
    <t>051de1ed-38c9-4982-ae59-aa555321aee4</t>
  </si>
  <si>
    <t>c6a8b2d9-1517-43f1-9e86-301c5cb7c3e2</t>
  </si>
  <si>
    <t>2fbeb8ee-36d2-4e5f-9740-5f6f84dfcf21</t>
  </si>
  <si>
    <t>a6be0756-80e7-4ab0-8548-b28b747006b8</t>
  </si>
  <si>
    <t>10431db3-bcda-4fbe-aa0e-7bc91caf12bc</t>
  </si>
  <si>
    <t>a6fe27bc-07b3-427c-b6d8-f474d6198a96</t>
  </si>
  <si>
    <t>c50d8d24-2c4e-4252-bc8c-ea3dfe2c4c0c</t>
  </si>
  <si>
    <t>a04ad690-bb96-44cc-93f8-43e6ce26d0c1</t>
  </si>
  <si>
    <t>75509198-75c0-478e-af5b-540aac5081ed</t>
  </si>
  <si>
    <t>c5f48775-069a-4bd3-85b2-626062fac073</t>
  </si>
  <si>
    <t>379586e1-87b6-4829-a056-f9fe0e1df8b5</t>
  </si>
  <si>
    <t>e0468038-a747-4c48-beaf-b13b48921b5e</t>
  </si>
  <si>
    <t>51a329c0-0f38-450e-8dbc-2bff2a6b5fd9</t>
  </si>
  <si>
    <t>b1a3620d-43d2-4ee9-b64a-e090bf61fb43</t>
  </si>
  <si>
    <t>6daed505-1969-4778-a4fc-50916aefdac6</t>
  </si>
  <si>
    <t>9a1d2906-fc19-45b3-bcad-55dcaf815a1e</t>
  </si>
  <si>
    <t>92b65480-1827-40c1-8af3-ccbf6aa2944a</t>
  </si>
  <si>
    <t>2eb7b09e-00e2-49b3-a1df-0959eeb5f685</t>
  </si>
  <si>
    <t>b122a343-391d-4119-ae38-a6fd363a8677</t>
  </si>
  <si>
    <t>45ac7927-d546-449c-aca3-8c290b933726</t>
  </si>
  <si>
    <t>875ef4e5-782a-483b-98f2-9b06f4dc53b9</t>
  </si>
  <si>
    <t>d2375c73-c507-4b40-9972-48200113e9dc</t>
  </si>
  <si>
    <t>6ad24db0-5136-4a53-b22c-ee02f4fb54d4</t>
  </si>
  <si>
    <t>18afcdb1-9bc8-4515-876a-9ef199cd7355</t>
  </si>
  <si>
    <t>042d7b78-3aac-4ed6-ad47-c1a8fd476acb</t>
  </si>
  <si>
    <t>cd5c8eeb-206f-4e6c-9e72-1a93fe4b3318</t>
  </si>
  <si>
    <t>8684f6e3-57aa-4590-8cfb-e49f153decdc</t>
  </si>
  <si>
    <t>224a7a8d-34fd-4202-bf99-65931e065404</t>
  </si>
  <si>
    <t>fc3e2719-4093-417a-86a8-e05dfa76e234</t>
  </si>
  <si>
    <t>0c5bc96b-8e6f-437d-b0b8-981e05cbcdd0</t>
  </si>
  <si>
    <t>aa6b9993-7369-49a9-b5ba-2d2a127f044b</t>
  </si>
  <si>
    <t>a98da35b-c1fb-4b32-8476-7ebd9bcee316</t>
  </si>
  <si>
    <t>339c5b50-bb55-40fb-abab-29b96f676429</t>
  </si>
  <si>
    <t>12fe5eb2-7711-4610-a7ed-b8ed77d7d733</t>
  </si>
  <si>
    <t>SONA HUTNANOVA</t>
  </si>
  <si>
    <t>cf4bebf3-0f59-4cc6-8bb2-63598e5e557f</t>
  </si>
  <si>
    <t>0015116f-1952-4ee7-a5f2-fe03c923cd2d</t>
  </si>
  <si>
    <t>043952e2-5b46-410b-a405-91070c0c92b0</t>
  </si>
  <si>
    <t>8873ba4b-dbad-4c30-ad56-6efa63678e51</t>
  </si>
  <si>
    <t>cf74c477-5cb9-48ae-a6f6-bfc08e0b6abb</t>
  </si>
  <si>
    <t>dc82786e-8392-4efa-9806-fb6d826d5b9b</t>
  </si>
  <si>
    <t>53a252c3-3a54-478c-a364-fee73acab3ae</t>
  </si>
  <si>
    <t>36ee5dcb-a28c-4854-923c-2a1806271ac1</t>
  </si>
  <si>
    <t>41967b63-9de1-4e8b-a96a-c3bbd824c1dd</t>
  </si>
  <si>
    <t>4f9e4311-eb58-47e9-b9cf-788ab591288f</t>
  </si>
  <si>
    <t>bfba5787-06e1-4573-b4ad-ea909b51d5e5</t>
  </si>
  <si>
    <t>c73ea4d5-4a8a-4bed-9f38-a4098128772f</t>
  </si>
  <si>
    <t>a61acba9-870b-4c6a-bd27-306ee9ce52ae</t>
  </si>
  <si>
    <t>f5f82153-791b-4793-a366-2a9278fd2687</t>
  </si>
  <si>
    <t>43310caa-5e39-45de-a2e1-a658c542e9c0</t>
  </si>
  <si>
    <t>1380913d-a56c-4010-8bfa-54ba544da2f6</t>
  </si>
  <si>
    <t>657b4d37-1094-477e-93d4-a874c8faef1d</t>
  </si>
  <si>
    <t>83a2002d-0cce-4837-b488-9bda48dc73d2</t>
  </si>
  <si>
    <t>06328d8e-9c96-4b74-8116-5ba4ae280ac2</t>
  </si>
  <si>
    <t>df6c21b0-7316-4ed0-b0b7-7b252e2efaa6</t>
  </si>
  <si>
    <t>df0dbea4-c3ca-4add-9ff5-bc026b5e6570</t>
  </si>
  <si>
    <t>7aa58487-b9f4-4ef0-8e4b-626799927bb9</t>
  </si>
  <si>
    <t>a6fd3fff-f26b-49aa-b769-c96503dcf777</t>
  </si>
  <si>
    <t>d3a7108f-4176-4679-98cb-3d3c1021f8fe</t>
  </si>
  <si>
    <t>304720c8-cc98-44a2-ad0f-99654f4f9c04</t>
  </si>
  <si>
    <t>3325db5c-8a39-478f-bc65-ab8bbb4839be</t>
  </si>
  <si>
    <t>c8f4863d-0fb3-4e65-a481-726654eeb083</t>
  </si>
  <si>
    <t>0df4c701-c2bf-4202-b4b5-149bab5e37d8</t>
  </si>
  <si>
    <t>e976060f-ba5b-4d65-9134-c7569f3183ad</t>
  </si>
  <si>
    <t>a5ee3224-83fe-4f94-bf38-a4d23c5e6d0d</t>
  </si>
  <si>
    <t>da6f63de-1e8b-4915-a569-a6a6b321a15e</t>
  </si>
  <si>
    <t>fed0e344-b6ff-48d4-ae43-6ae9af41f1a4</t>
  </si>
  <si>
    <t>db1292ab-59e3-4746-a498-b4d3f7c77d89</t>
  </si>
  <si>
    <t>1a467a22-2c4b-43e8-81d8-e64e7f2b725b</t>
  </si>
  <si>
    <t>01545a9e-ada1-4aaf-9566-58a49f9c6521</t>
  </si>
  <si>
    <t>96505718-cb94-41a0-8a99-00bd28f3cc12</t>
  </si>
  <si>
    <t>c1aadadc-b15f-4d0f-b162-f91f8ea4e370</t>
  </si>
  <si>
    <t>583e16ff-57d1-4924-bc51-d712b1b76b62</t>
  </si>
  <si>
    <t>36bd63f0-033f-4510-a059-48ff243f1ed3</t>
  </si>
  <si>
    <t>347e218f-1817-4dba-b523-dc92bbc9f7eb</t>
  </si>
  <si>
    <t>96983ea6-3e34-42ed-afa8-bb5234ab073c</t>
  </si>
  <si>
    <t>d8bd6ba3-e6aa-4be9-9b0c-b9b59f614f1c</t>
  </si>
  <si>
    <t>64d30fad-3300-4bd1-9ea4-e29b570cba13</t>
  </si>
  <si>
    <t>158f890d-a6d0-4f2e-8f37-09035d755ec2</t>
  </si>
  <si>
    <t>7d1a0766-ab4d-48df-8c24-37eb74ff7780</t>
  </si>
  <si>
    <t>ae5f4b42-4fc4-4a26-919b-7ff9ce2b1b62</t>
  </si>
  <si>
    <t>a2b02326-2fd1-4150-b51d-6849be7b258a</t>
  </si>
  <si>
    <t>f5bd9cc9-0b25-4dc9-965f-734746523824</t>
  </si>
  <si>
    <t>0a3f4c16-4ee2-4cb6-bea8-43688782475c</t>
  </si>
  <si>
    <t>cf3e8d39-f23d-45f9-b014-4aac59f8ad8b</t>
  </si>
  <si>
    <t>a58e60b1-bbb1-4170-af0f-939f87611afd</t>
  </si>
  <si>
    <t>341f2013-01c9-43d0-b004-a2b145530330</t>
  </si>
  <si>
    <t>e2b2da37-062c-4f3c-aaeb-8b91a31b1081</t>
  </si>
  <si>
    <t>2779fafb-ccf2-4148-b24e-39e654c70c20</t>
  </si>
  <si>
    <t>00a61f19-03ae-4ffe-93a3-8d54c876d2ce</t>
  </si>
  <si>
    <t>511f73ff-10f8-4fed-8990-96723e0fbeef</t>
  </si>
  <si>
    <t>19cca97c-8f69-4527-a59a-fd0c18e6bbc0</t>
  </si>
  <si>
    <t>3e730a30-5d03-4ff7-a998-bd48e000dd91</t>
  </si>
  <si>
    <t>0a638850-bb1d-413e-b4dd-d81d42496b70</t>
  </si>
  <si>
    <t>3916fed9-59f3-4215-bc26-7ad6c02426f1</t>
  </si>
  <si>
    <t>d858c49a-a8bc-4d0c-8d26-08d3e3affdbb</t>
  </si>
  <si>
    <t>c4da5b6f-7835-4f84-b94a-8c2c4fb0fc78</t>
  </si>
  <si>
    <t>d3d5c874-48af-4c59-99a4-81b10b5c9462</t>
  </si>
  <si>
    <t>bdc28149-70d4-4f70-88e9-8dd371d4f841</t>
  </si>
  <si>
    <t>85abb50b-2124-4866-b61e-7b2ab7db8925</t>
  </si>
  <si>
    <t>5a604f2f-394d-42ad-8653-2dd441dc2920</t>
  </si>
  <si>
    <t>03eb0054-44f8-49b5-b08d-0e86632dd8ee</t>
  </si>
  <si>
    <t>483779e3-fe6b-4284-a235-5a933ae6449d</t>
  </si>
  <si>
    <t>dfd94c7c-5f8b-40b8-b8bf-98b103bd118b</t>
  </si>
  <si>
    <t>71341e7d-b45b-4f8c-88fb-4ddc4dc38388</t>
  </si>
  <si>
    <t>6f508374-5bb4-4cd4-836b-093aa9eb61d3</t>
  </si>
  <si>
    <t>640461c5-6cce-4331-9fd6-737007679738</t>
  </si>
  <si>
    <t>927a2779-8755-415a-84d4-0b8170ca8163</t>
  </si>
  <si>
    <t>f4d9ee19-5293-4f28-928c-b4fb68e4d9cd</t>
  </si>
  <si>
    <t>6cc66177-feff-4045-8432-912d1d557194</t>
  </si>
  <si>
    <t>97df27a2-59bc-4d9b-bae2-89617a3a609a</t>
  </si>
  <si>
    <t>18015111-c9cf-4a06-9984-89a024dbd336</t>
  </si>
  <si>
    <t>fdfa396c-cd7b-4eb3-875e-054da099ea4d</t>
  </si>
  <si>
    <t>58812be4-fd75-4a33-b8c0-b670f30b6f14</t>
  </si>
  <si>
    <t>0fefe09d-d6dd-470a-90a7-bcee8db58884</t>
  </si>
  <si>
    <t>c8b9ae9d-696e-43e8-9a80-a73b8ec06fe1</t>
  </si>
  <si>
    <t>2fe506a2-af4a-4cba-b11f-a9ec72bf7482</t>
  </si>
  <si>
    <t>5bf01122-0e3f-4a7b-9924-e0b4bc510e3c</t>
  </si>
  <si>
    <t>43cd40d7-a0d3-4f87-93b6-a1011acc2faf</t>
  </si>
  <si>
    <t>25deee78-2df5-4ae6-9585-4a290b3c1283</t>
  </si>
  <si>
    <t>81d1071b-e9ac-4adb-b3fa-0dacb8e5ce46</t>
  </si>
  <si>
    <t>bd0d715a-c402-4781-9bd9-6638ca0f58a4</t>
  </si>
  <si>
    <t>5e8fef5f-5ffb-4fc0-9b49-7bdd2c683bef</t>
  </si>
  <si>
    <t>5f1e82e4-0928-48c4-8a13-d2511924b685</t>
  </si>
  <si>
    <t>789eef6a-d0e6-4a7b-a303-453592f5a7a5</t>
  </si>
  <si>
    <t>7a487abf-0566-4819-ba09-a6a35fe81899</t>
  </si>
  <si>
    <t>c1179ea2-9567-472a-8f72-2a1fd69aede5</t>
  </si>
  <si>
    <t>1f44ed56-b65b-447f-9e62-0b2d7133b1d9</t>
  </si>
  <si>
    <t>109b3f4c-beb8-4ac9-a28c-8de77f93fec9</t>
  </si>
  <si>
    <t>Luna Euler Gandia</t>
  </si>
  <si>
    <t>783df831-4b73-4a70-bcab-5be79d0649f2</t>
  </si>
  <si>
    <t>c9b0f9c4-4815-4e13-9dff-7f4a3cd317dc</t>
  </si>
  <si>
    <t>060580a1-0797-435d-86b8-0eb0d1b87f80</t>
  </si>
  <si>
    <t>ee5f882a-f433-473b-9ffa-0d7213a9b4b2</t>
  </si>
  <si>
    <t>fcf2cd74-f4ce-4aa9-838b-0e0ef89e6dbf</t>
  </si>
  <si>
    <t>50b8a90f-40e3-4d47-8cc7-8e1898280ded</t>
  </si>
  <si>
    <t>0467232f-4a2b-48e3-8443-2154d387b09b</t>
  </si>
  <si>
    <t>cee69991-7a10-41fb-bf20-90ad1273c043</t>
  </si>
  <si>
    <t>8bc51019-3b75-4cfc-b501-a681401130ab</t>
  </si>
  <si>
    <t>752a140a-21f1-4a7c-9244-ac16e3df2fe1</t>
  </si>
  <si>
    <t>62c8b6ec-0045-4eeb-9ee4-906e3f3ef1ba</t>
  </si>
  <si>
    <t>d104a354-24df-4044-a31c-14633c6c1ef5</t>
  </si>
  <si>
    <t>aaf7bc9d-abee-49f3-9cac-a6e729f4a5d0</t>
  </si>
  <si>
    <t>e47519c4-9d2d-49cf-b0d0-212af6e0872f</t>
  </si>
  <si>
    <t>c1b757dc-7965-4382-a09c-4fea9b9d4af1</t>
  </si>
  <si>
    <t>a351b4e7-e388-4ac9-81c0-d7c30fa89a6a</t>
  </si>
  <si>
    <t>2c5e1297-9496-411a-8837-fa3d69bd8a5d</t>
  </si>
  <si>
    <t>637095d5-1f3a-4048-aafd-87a1188e68a5</t>
  </si>
  <si>
    <t>ae4c8632-30c4-459a-bc28-e4318371a225</t>
  </si>
  <si>
    <t>436db66e-512c-4322-bf06-5cd7238ec8ca</t>
  </si>
  <si>
    <t>49b46777-fdbb-406b-acbb-d903375a5ae3</t>
  </si>
  <si>
    <t>909ad696-f23f-4a19-a574-1ec133ce51cd</t>
  </si>
  <si>
    <t>e1f5d76c-3bd1-4c73-b819-ae669cd2dcf9</t>
  </si>
  <si>
    <t>454dc9c9-2e5f-46bc-b421-3d1514d3c703</t>
  </si>
  <si>
    <t>b6e145d3-f1e0-48b9-be5f-683fa189ebfc</t>
  </si>
  <si>
    <t>b1222c09-b199-4d57-8f1a-e2b92cd67997</t>
  </si>
  <si>
    <t>cb193cc7-6836-46c4-a686-9083873a283d</t>
  </si>
  <si>
    <t>d7bc7986-bef4-4f6c-a417-ba3016b46509</t>
  </si>
  <si>
    <t>a4e16db8-80b2-4350-8a06-999f45c4da1a</t>
  </si>
  <si>
    <t>b4ae2965-8c94-416d-b931-cb607ca66490</t>
  </si>
  <si>
    <t>a05d6b6a-4427-4411-9ebe-bfaa9efa6d2a</t>
  </si>
  <si>
    <t>ea6913c0-a53a-46e1-933d-d530955b7bd0</t>
  </si>
  <si>
    <t>5c93c186-44b4-4efd-b0cf-3f527968dd00</t>
  </si>
  <si>
    <t>f2114cf3-7e94-4b5f-8d54-bfea028ccc2e</t>
  </si>
  <si>
    <t>c2c6d45a-96b8-4a8c-acc3-13842b6aa8c0</t>
  </si>
  <si>
    <t>3bf8d2cc-5ca4-47bf-8f18-d0e829273501</t>
  </si>
  <si>
    <t>b13be61f-1011-46c1-b7d7-e13ecbb9d437</t>
  </si>
  <si>
    <t>8733a029-e40f-4505-9caf-c229f994b2d3</t>
  </si>
  <si>
    <t>644c1c35-8fca-4bfb-92f3-ff5a448b6980</t>
  </si>
  <si>
    <t>4c67bfbf-4890-47ee-af77-8f9ed477a901</t>
  </si>
  <si>
    <t>cf87288e-5d2b-4a53-9f31-329b7348a835</t>
  </si>
  <si>
    <t>12a0cd7f-fb1b-40fb-bd52-ad0f6499d3c4</t>
  </si>
  <si>
    <t>b4add9b3-c1c3-42cc-8e49-31f5c79113bb</t>
  </si>
  <si>
    <t>Marie Wilcke</t>
  </si>
  <si>
    <t>54febd56-8bcb-42d4-86e7-a51925c8eacf</t>
  </si>
  <si>
    <t>072003a3-1faa-434a-88ef-9a2af8e65bed</t>
  </si>
  <si>
    <t>d6728eca-114c-42fe-b789-f7bb428c7c06</t>
  </si>
  <si>
    <t>6eab7e2e-e58c-4993-9fd1-9235603a289f</t>
  </si>
  <si>
    <t>TATIANA CIMBIR</t>
  </si>
  <si>
    <t>6ac6ce1a-aa03-40e6-b658-e7ade9aa4ca6</t>
  </si>
  <si>
    <t>fdcb998a-b240-4e87-b7dc-7006a1ea2f4c</t>
  </si>
  <si>
    <t>b57bcc62-4af2-4a58-9bdd-c86ab2b59d20</t>
  </si>
  <si>
    <t>72747828-2f8a-4fd0-b63d-1fd038ce207b</t>
  </si>
  <si>
    <t>0ef38033-de7f-4a1f-a359-3e6d128c3f9e</t>
  </si>
  <si>
    <t>d3a6ae75-df36-4101-99dc-96c9f3b31186</t>
  </si>
  <si>
    <t>8fa9693f-1a91-4446-838f-f9451a49ce4c</t>
  </si>
  <si>
    <t>e780f560-509f-49e7-81b9-d9a91ed22e17</t>
  </si>
  <si>
    <t>2132a848-63ae-4d71-ae06-b4b5bbbb34ae</t>
  </si>
  <si>
    <t>25569256-ef78-495d-b07a-f8a05b5d8b5e</t>
  </si>
  <si>
    <t>a3b6cd83-d8e8-4bdc-8956-bdabc7e64000</t>
  </si>
  <si>
    <t>ca5ee766-aed2-4a3d-8a1a-ad9cfde5fe62</t>
  </si>
  <si>
    <t>9246069a-f5f3-4398-b65a-a75060a2b124</t>
  </si>
  <si>
    <t>0533b139-da6e-40ba-8058-d32f4f8bd668</t>
  </si>
  <si>
    <t>01423841-8d03-4fb3-869d-3d23aa2788a9</t>
  </si>
  <si>
    <t>524d07c2-59b4-4df7-8965-1dd6a9a0beed</t>
  </si>
  <si>
    <t>7d097bd0-9b68-45ea-93e4-1442a5d0d206</t>
  </si>
  <si>
    <t>5db050e0-3771-401b-b131-541ff3aa6a1a</t>
  </si>
  <si>
    <t>73f924ab-763a-408c-9f68-c145dc158fc7</t>
  </si>
  <si>
    <t>0e7a51b1-9fe4-4473-8539-fb179cb9b114</t>
  </si>
  <si>
    <t>c0eba969-5a15-41cf-8551-1809c1aa2007</t>
  </si>
  <si>
    <t>4293ac62-508e-415b-8312-29d9c8872faf</t>
  </si>
  <si>
    <t>€5.13</t>
  </si>
  <si>
    <t>€0.53</t>
  </si>
  <si>
    <t>€4.60</t>
  </si>
  <si>
    <t>5960407e-04cf-4a06-acde-504701ea46e4</t>
  </si>
  <si>
    <t>0c115e25-9111-4f1b-848d-0c4140b20194</t>
  </si>
  <si>
    <t>2c09bab7-e9ff-434a-8c41-974965a90cc8</t>
  </si>
  <si>
    <t>311cdb02-5158-477f-a7ea-8e3457fe5020</t>
  </si>
  <si>
    <t>0bd21c4a-edfa-4a89-a022-020316dd2ce0</t>
  </si>
  <si>
    <t>14e0b0e8-544f-41af-8d0a-6a7510387038</t>
  </si>
  <si>
    <t>4e488cce-526b-4f84-9815-051648b9931a</t>
  </si>
  <si>
    <t>6dee54da-6850-4a0a-aef4-1c744ae78575</t>
  </si>
  <si>
    <t>913fbdf5-2ebb-4f54-b9b6-3cf02e91137c</t>
  </si>
  <si>
    <t>71f79e03-0651-4f61-aa04-87d94ea611ce</t>
  </si>
  <si>
    <t>87b6d24f-810c-4755-92ba-191784c88c86</t>
  </si>
  <si>
    <t>d986ed8b-d6ba-42a5-9da4-7bf39210c7fe</t>
  </si>
  <si>
    <t>a3de6e37-55ac-4fad-9d4e-045601916c3b</t>
  </si>
  <si>
    <t>cb161c67-86ac-40ea-b36c-ec838be1418e</t>
  </si>
  <si>
    <t>e74f6c22-da93-483a-bc6c-e38b72c9ebef</t>
  </si>
  <si>
    <t>ad1b32af-6aae-4d57-a6bf-dca5d5a8c321</t>
  </si>
  <si>
    <t>28daf3ab-dea9-4457-9579-9300d9628ded</t>
  </si>
  <si>
    <t>7fbdc186-0caa-472c-9713-69383baace62</t>
  </si>
  <si>
    <t>ecf735b3-4f39-4011-9b74-37ab93b234e2</t>
  </si>
  <si>
    <t>9820a9eb-9691-45ae-a656-ec5d21852288</t>
  </si>
  <si>
    <t>ce84b7b4-2dfa-4b15-9cff-38ef609b5435</t>
  </si>
  <si>
    <t>faca9676-e50a-467d-a1ee-118744848eb6</t>
  </si>
  <si>
    <t>5bd0b8f3-fce1-4514-bdd9-09a0a1526b14</t>
  </si>
  <si>
    <t>ccb6fb42-774a-4f0c-8004-52b92125ee92</t>
  </si>
  <si>
    <t>a61ad89c-01ce-422a-96c3-fc2bb37b3cb3</t>
  </si>
  <si>
    <t>10f47552-38a5-4a94-8d28-2f7183a3505a</t>
  </si>
  <si>
    <t>bdffced0-2d53-4d43-9bbb-8368f0b8b73c</t>
  </si>
  <si>
    <t>b71a227a-c0eb-4d77-b20f-f702cd8c3b4e</t>
  </si>
  <si>
    <t>8d5eb4fb-9a33-4187-a9b8-b2ad52e1072e</t>
  </si>
  <si>
    <t>14542d39-b84a-4027-9372-a2a280d14a00</t>
  </si>
  <si>
    <t>7f9c1234-2f3b-438f-bb6c-c74dfccdf4de</t>
  </si>
  <si>
    <t>1cf573d4-e4a7-4b56-8187-828f92c62e63</t>
  </si>
  <si>
    <t>7d49b712-ce88-440a-bc83-b6cc8aef16c8</t>
  </si>
  <si>
    <t>d151d0ef-2084-4b6c-9f82-750b866b79ea</t>
  </si>
  <si>
    <t>1bbbd717-b312-4f3b-9456-598a76c1a84d</t>
  </si>
  <si>
    <t>f59c4dae-87a5-4ed1-9dc8-2567460d2c16</t>
  </si>
  <si>
    <t>bc4d7e47-ce12-470a-83b7-131553149e7c</t>
  </si>
  <si>
    <t>6eb99615-bb49-4606-813e-5dc0642ae21c</t>
  </si>
  <si>
    <t>4dee102a-e509-491a-91c8-3f50a91e3f76</t>
  </si>
  <si>
    <t>76970040-69c5-48ad-a2cd-6a8d065f33e1</t>
  </si>
  <si>
    <t>c2fe0222-ad1c-4dc4-b37c-4e2c7a5e4b7c</t>
  </si>
  <si>
    <t>005b2c6b-7b5f-4816-9214-25f0928e845d</t>
  </si>
  <si>
    <t>067a7be7-9d4d-4b23-bfa2-5ddd94a07750</t>
  </si>
  <si>
    <t>a63c06d5-f406-4444-b47b-628ac01751d5</t>
  </si>
  <si>
    <t>e19eaf8b-b27c-4075-9913-20f196b52ce5</t>
  </si>
  <si>
    <t>76d063f0-dead-4bfd-924d-4861a1b63594</t>
  </si>
  <si>
    <t>37d6511c-afb9-4ef0-b743-0173c5d991b4</t>
  </si>
  <si>
    <t>406910f8-a86f-45b2-8cee-2a53cedc77da</t>
  </si>
  <si>
    <t>12fff4d6-e1cc-45e0-9e54-0ed177f8d64e</t>
  </si>
  <si>
    <t>14b24dfc-0194-4bc4-9865-0627065c7632</t>
  </si>
  <si>
    <t>246c35c0-9311-4fa9-9541-52483e15f2fd</t>
  </si>
  <si>
    <t>662ebbda-7bda-4dab-87be-48958c210ef2</t>
  </si>
  <si>
    <t>9a01d04d-0cb5-46d1-b988-5b8ad72c7140</t>
  </si>
  <si>
    <t>46d6404f-217c-4ee8-891d-4500e8aaf0d1</t>
  </si>
  <si>
    <t>9433207f-dc1e-4537-9498-4499ef1fe6c3</t>
  </si>
  <si>
    <t>8902e472-ea3d-4dc5-8e04-7cfaa23d9d82</t>
  </si>
  <si>
    <t>74709599-31d6-437a-a417-894fc1ae8e98</t>
  </si>
  <si>
    <t>cc765d20-407b-444c-840e-81e0ecf7a23e</t>
  </si>
  <si>
    <t>608cb921-1f41-48f5-bb8f-7b63a67d2887</t>
  </si>
  <si>
    <t>38cb6c4e-a0c2-4d52-986c-63458f8b48a1</t>
  </si>
  <si>
    <t>79ad51ba-0e09-4473-a024-b6921f91dd67</t>
  </si>
  <si>
    <t>23fb5561-ec86-4ce7-a9c6-4fc24563e3ef</t>
  </si>
  <si>
    <t>33968e83-ccf7-4542-8f2f-56ca06d45e97</t>
  </si>
  <si>
    <t>c62ab243-6c16-42cc-818b-b19c62f97fc7</t>
  </si>
  <si>
    <t>f19f9db5-227e-4094-9326-a35c4d31e233</t>
  </si>
  <si>
    <t>1e4bd3b1-e9ef-4f41-af7a-d73b4c4f1662</t>
  </si>
  <si>
    <t>€4.57</t>
  </si>
  <si>
    <t>99b345fb-7674-4fe9-a6c8-7d7a75af3911</t>
  </si>
  <si>
    <t>8b8b58ea-8a22-4cd7-b12c-bec1483d2ced</t>
  </si>
  <si>
    <t>ef061f81-d3ae-438d-add7-3eefbcd17d66</t>
  </si>
  <si>
    <t>e3221e5f-fa23-40a0-b22a-2cf8b1b18b09</t>
  </si>
  <si>
    <t>ec464421-630e-49d0-ba5a-f2a36118da28</t>
  </si>
  <si>
    <t>7e264609-ecaf-4c6c-b6fd-5a6e482a44a9</t>
  </si>
  <si>
    <t>e0714a00-a3fd-422d-8856-32fc72adbbd3</t>
  </si>
  <si>
    <t>c0fe5dbf-c979-43b7-a492-9604a463ae23</t>
  </si>
  <si>
    <t>2954b9c4-c198-44d0-9235-939e1fd7ece5</t>
  </si>
  <si>
    <t>€7.18</t>
  </si>
  <si>
    <t>€0.66</t>
  </si>
  <si>
    <t>26bf121e-5e56-4502-b884-022242763d78</t>
  </si>
  <si>
    <t>8cb59cf3-5d47-489e-a511-b745d2adab5d</t>
  </si>
  <si>
    <t>bbfe1567-9160-479d-a83a-e525b7f817e1</t>
  </si>
  <si>
    <t>5f1dd98c-a12b-4ecd-aae4-d139375cfb4f</t>
  </si>
  <si>
    <t>623ec742-b455-4379-a2ec-e1a7bcfd5bf2</t>
  </si>
  <si>
    <t>6a2971d8-73fd-4fe2-90c1-3ed8183cfee5</t>
  </si>
  <si>
    <t>9f1cb7d9-809c-4ee8-b4d9-b6b34fcff3fc</t>
  </si>
  <si>
    <t>64db384d-750e-4e84-a3b3-87da2e362736</t>
  </si>
  <si>
    <t>47e164dd-dd5f-4c8a-86f8-03ce8612d313</t>
  </si>
  <si>
    <t>c6796155-a0b3-4aad-ab13-1755f919c909</t>
  </si>
  <si>
    <t>e1c6bb0f-2631-4a11-998c-0f4527e12bf2</t>
  </si>
  <si>
    <t>2fc33d63-b601-4338-b3f0-81d36d7d1be5</t>
  </si>
  <si>
    <t>21c83da8-ce0e-49a5-9c01-7c808cbd066f</t>
  </si>
  <si>
    <t>b818d955-b435-4afa-9fb7-da45f1bfb3e4</t>
  </si>
  <si>
    <t>05fca5af-2bfb-4902-8cd9-e9b578e032ef</t>
  </si>
  <si>
    <t>5c51c4cd-eec6-4d28-82df-6f015c5002c6</t>
  </si>
  <si>
    <t>73c1d83d-8444-45da-80a5-c550ea9fe001</t>
  </si>
  <si>
    <t>0ddff6b8-ac84-41c8-8834-de2a8800b9b8</t>
  </si>
  <si>
    <t>1b212407-5bc5-4a39-a3eb-597646701891</t>
  </si>
  <si>
    <t>cf90f924-e443-43fc-be91-71374eb3584b</t>
  </si>
  <si>
    <t>383dc725-e9e6-4993-b2a1-45d726b876ec</t>
  </si>
  <si>
    <t>2bf6b81a-5b8b-4af0-a68b-eab229ec415b</t>
  </si>
  <si>
    <t>96deff15-8597-47c3-a6cf-e4152d79a75a</t>
  </si>
  <si>
    <t>5f5cdc2b-1882-42bc-b338-04eb66eff287</t>
  </si>
  <si>
    <t>239b99a4-fee3-454e-85a8-e4dab8d86bf7</t>
  </si>
  <si>
    <t>2332ffbb-3c00-4950-b2b8-db0cb6314733</t>
  </si>
  <si>
    <t>4467824f-b9fd-4d8b-8c21-4669ebfb3207</t>
  </si>
  <si>
    <t>Léane l’aot </t>
  </si>
  <si>
    <t>b58fb997-d772-4d26-b3ff-a7c2f95ef5ab</t>
  </si>
  <si>
    <t>ba72447d-50d8-49db-9138-873455ef98e9</t>
  </si>
  <si>
    <t>cf31961e-e7f5-47c0-99ed-ee66275ea52c</t>
  </si>
  <si>
    <t>f7a2bb20-67fe-4ad7-a361-c9fb8e472c3e</t>
  </si>
  <si>
    <t>656999a8-f761-4f37-bc57-75b1a306cb2f</t>
  </si>
  <si>
    <t>4c6479f4-5d06-40e3-8fba-0b95bf2d1c77</t>
  </si>
  <si>
    <t>222fccbc-17b3-428c-83e8-c0d781b9fe8f</t>
  </si>
  <si>
    <t>3fc0c948-337b-4c59-a544-f39ac6ed2782</t>
  </si>
  <si>
    <t>532afb88-65d2-4851-be77-f82e7c379c6c</t>
  </si>
  <si>
    <t>036dfb6b-e3d8-453e-b7af-6bf9656e1bd2</t>
  </si>
  <si>
    <t>cca5760c-a679-4264-b5fe-4a0a56f6daf8</t>
  </si>
  <si>
    <t>22f3562d-c164-43aa-860e-c767ff72ad84</t>
  </si>
  <si>
    <t>73d0cbba-e721-46ce-9a02-7b1fd0ba832e</t>
  </si>
  <si>
    <t>3cf021e2-f637-430c-b3a3-79aedc3cd277</t>
  </si>
  <si>
    <t>025b6e97-818a-4894-abd6-e8641970737f</t>
  </si>
  <si>
    <t>9631e0d4-a60a-4df4-9432-d66fe03763b9</t>
  </si>
  <si>
    <t>5ca0ec60-8741-4467-ba39-6328a34c495f</t>
  </si>
  <si>
    <t>174c88c9-3515-431b-8eb0-2ef130c7bbc2</t>
  </si>
  <si>
    <t>c534a764-1e91-40c6-8d97-9359228e4d79</t>
  </si>
  <si>
    <t>6545c59a-4382-4228-bae9-644094bf3f37</t>
  </si>
  <si>
    <t>b2a42b28-75c7-4d8d-bee4-e91eaef5c07d</t>
  </si>
  <si>
    <t>f00f9d9d-8dad-4b3f-97dc-cb6280a24415</t>
  </si>
  <si>
    <t>dcd9b854-5075-4095-85e7-68c8ad29263e</t>
  </si>
  <si>
    <t>926fb907-06ad-4c81-b67e-7065e11c84b3</t>
  </si>
  <si>
    <t>261efda3-2721-42ec-8993-3a268afad3db</t>
  </si>
  <si>
    <t>598d299c-e3c4-427b-9fdc-06b7c16f760f</t>
  </si>
  <si>
    <t>7fec7220-8f33-499f-a86d-b7ef7aa73e84</t>
  </si>
  <si>
    <t>2477fa03-6cff-46ba-b42f-84bb30f8e514</t>
  </si>
  <si>
    <t>a989c021-6412-4a30-8822-881f9d35a531</t>
  </si>
  <si>
    <t>7b903975-2cf9-477a-bb95-a7aa6c7cc5c9</t>
  </si>
  <si>
    <t>4ae4d351-5ed2-41d7-a0ae-b6f5979abddf</t>
  </si>
  <si>
    <t>df52a90c-b647-4cd9-b25b-5e15375e1f8e</t>
  </si>
  <si>
    <t>04b26c94-e233-42b8-b785-b86be04f7db7</t>
  </si>
  <si>
    <t>7b250e5a-2c2f-431a-9034-11e8635ee81c</t>
  </si>
  <si>
    <t>5d604feb-96e6-43d2-8c72-48ca6aefbfd0</t>
  </si>
  <si>
    <t>30c43d4d-adbc-4ae0-907e-59c272f8609a</t>
  </si>
  <si>
    <t>b0d4434d-48a3-4210-8934-673b1e15b601</t>
  </si>
  <si>
    <t>e52537a6-b16d-4467-9c5a-e5b030c06de4</t>
  </si>
  <si>
    <t>d785e3a3-455e-4a02-a2a6-a1d068376f92</t>
  </si>
  <si>
    <t>20280e9c-c888-4138-ae3a-39a72a033531</t>
  </si>
  <si>
    <t>b994c8ad-6f5d-4b30-80d9-6064dc169084</t>
  </si>
  <si>
    <t>d1fd6889-ee6d-4bef-a3e1-24c728d7c064</t>
  </si>
  <si>
    <t>8982d2b2-97d6-4571-8d86-0ef2309e15b3</t>
  </si>
  <si>
    <t>57a55e10-ad19-4577-b828-efaadc273679</t>
  </si>
  <si>
    <t>8a9e8d5c-cc64-44d1-b9e7-07e3069ee856</t>
  </si>
  <si>
    <t>dc32d1c5-ad56-4b2a-9209-74cd80586081</t>
  </si>
  <si>
    <t>4ed18e7c-e95d-40c4-89de-1fb25a4e41fa</t>
  </si>
  <si>
    <t>8bd6516b-65d0-4ee0-98f5-22ca097ea78a</t>
  </si>
  <si>
    <t>472c5ee6-aa27-42b1-b9fe-1584883c89ba</t>
  </si>
  <si>
    <t>30c16021-04ae-4325-ba97-9d4a69e91e5e</t>
  </si>
  <si>
    <t>7766dcc2-72c9-4355-8137-35b8eee6234d</t>
  </si>
  <si>
    <t>b2458dd9-79ad-4d1a-bc6b-993333c407af</t>
  </si>
  <si>
    <t>d1c27c4c-e336-4759-ab33-1d3f8aa4fc2a</t>
  </si>
  <si>
    <t>be8b4ca6-8e60-4b28-9867-2d49d3044f0e</t>
  </si>
  <si>
    <t>€5.55</t>
  </si>
  <si>
    <t>4c2a9bf2-c945-4041-ba68-529001dee61c</t>
  </si>
  <si>
    <t>30bee9ac-db6a-4a6c-97bd-96dda8768d41</t>
  </si>
  <si>
    <t>9a3a6061-197e-4b1a-af9e-2e9e2827133a</t>
  </si>
  <si>
    <t>e4e815a0-2c27-4bc1-8363-5d7eb5adffd5</t>
  </si>
  <si>
    <t>e84391f0-bcb8-4a60-9263-8c9385abaa10</t>
  </si>
  <si>
    <t>0f44d036-7110-4cae-b268-e21dc07089d7</t>
  </si>
  <si>
    <t>8ef725fb-9d24-48ed-87da-de434bb6d115</t>
  </si>
  <si>
    <t>87407b7f-ea94-448d-bdec-3eed85cb891d</t>
  </si>
  <si>
    <t>80a1c142-52bf-415b-9ec6-a933ae632115</t>
  </si>
  <si>
    <t>9c9c0ea3-5e9d-4c2c-8cc8-1f9cab4ce315</t>
  </si>
  <si>
    <t>c8f37c41-1f77-4045-b8a1-0effe94ec3b9</t>
  </si>
  <si>
    <t>c2883969-c9af-46ca-a265-1b65fdfef2d3</t>
  </si>
  <si>
    <t>6427b528-dcc6-4f56-a018-43a1a80977ee</t>
  </si>
  <si>
    <t>e2b98518-493a-4c3a-ab87-43c37d893c34</t>
  </si>
  <si>
    <t>405eacda-0d21-4cde-bd5b-6b4d224a6b6d</t>
  </si>
  <si>
    <t>9a4961fc-1bb7-4d3f-8e4e-aef6d0c655aa</t>
  </si>
  <si>
    <t>2314fae2-18cb-4d91-b09c-ff8dd0306d9a</t>
  </si>
  <si>
    <t>7ac8440d-463c-44b7-bae3-9acc36ad0d69</t>
  </si>
  <si>
    <t>9c56298a-beb8-49c9-9ffe-c4ab0e6d6327</t>
  </si>
  <si>
    <t>3b75d3be-5fc8-4758-94a6-91db56520583</t>
  </si>
  <si>
    <t>005a10a2-42ef-4b26-986a-f3a9216df758</t>
  </si>
  <si>
    <t>9a9683f7-bf2a-40c9-b7ce-cdf7ca6f0bd3</t>
  </si>
  <si>
    <t>8ec604d5-a2fb-4a79-9fc6-db3e95b14421</t>
  </si>
  <si>
    <t>41f24e9d-c85f-449b-a22f-e7ff7d11fa4b</t>
  </si>
  <si>
    <t>b7b37bb6-7234-468d-b98c-c1d64462666d</t>
  </si>
  <si>
    <t>7de5b2ff-9f6c-4143-9883-578f42b3f256</t>
  </si>
  <si>
    <t>Anastasia-Parascovia Papuc</t>
  </si>
  <si>
    <t>9895bc25-732d-4a88-b9a4-a0bcf377fe57</t>
  </si>
  <si>
    <t>5f703bf8-eec7-4c96-aa5c-a16fbcfe0ccf</t>
  </si>
  <si>
    <t>5d5fc1eb-b1d1-45d0-a925-1ec99133ad31</t>
  </si>
  <si>
    <t>cfabe468-6ead-462e-9cdc-58d666a5aa09</t>
  </si>
  <si>
    <t>c2a8f5f7-9b26-45fd-b32f-7ddd71ecac1b</t>
  </si>
  <si>
    <t>4140b204-e567-4f7b-901c-b229d16f4e13</t>
  </si>
  <si>
    <t>45ca5b3b-4f50-4d9e-a322-710c08157987</t>
  </si>
  <si>
    <t>608e1d13-061d-4ce1-a547-a8cbe7ae5cd5</t>
  </si>
  <si>
    <t>8802df1f-77df-4dc9-97cc-a9be93de7dd7</t>
  </si>
  <si>
    <t>d2f6b3b3-7455-42b2-b5f0-9ed7cbeb974c</t>
  </si>
  <si>
    <t>d50b89e9-39af-4ddd-96e7-a341a48cee51</t>
  </si>
  <si>
    <t>b6aa8b7f-9cee-406c-90de-b3b97095138d</t>
  </si>
  <si>
    <t>5fc1df2b-fd69-4aac-8033-86ced11f12ee</t>
  </si>
  <si>
    <t>e6397a00-53be-4b92-bf3d-550846b3abff</t>
  </si>
  <si>
    <t>542f6216-9a72-43a0-a827-1bec3525eb6e</t>
  </si>
  <si>
    <t>92ad96ba-c4c9-4e02-8d0e-cda878539366</t>
  </si>
  <si>
    <t>c9aa6ca2-327b-4c87-8081-822e44fdab7d</t>
  </si>
  <si>
    <t>8d0c9569-5e45-4c80-bc3e-2529d540b470</t>
  </si>
  <si>
    <t>6455fe62-a52c-4827-9313-711ae00db2ac</t>
  </si>
  <si>
    <t>2c016055-3cab-4393-9f96-309da2073c24</t>
  </si>
  <si>
    <t>5e6c769d-47bd-4dfb-bfb3-79eb7196fe6c</t>
  </si>
  <si>
    <t>e2b1db58-f459-444d-aab7-11973dd31f2b</t>
  </si>
  <si>
    <t>218a8666-38f6-460f-b609-717054c67b9a</t>
  </si>
  <si>
    <t>74bd312b-bb9c-45ac-ad88-1593bc1cbb74</t>
  </si>
  <si>
    <t>75a6f0bc-f1e6-467c-9bc5-3baf25df3244</t>
  </si>
  <si>
    <t>8c731c61-362e-4a33-b794-731e3bf5f0f4</t>
  </si>
  <si>
    <t>1b186b38-26f6-43e4-a2ad-a60ce4f04999</t>
  </si>
  <si>
    <t>435b3fc9-d495-4438-834c-b5cb6796f282</t>
  </si>
  <si>
    <t>c07b05fc-23a9-4b70-89ad-c573eecb6108</t>
  </si>
  <si>
    <t>f4d623dd-e98e-42b4-bd83-d5d0a512aa2d</t>
  </si>
  <si>
    <t>b6dbc242-9c03-4b96-a171-bea929786a20</t>
  </si>
  <si>
    <t>a410ccc2-845c-45d7-9afa-9d6049c8377a</t>
  </si>
  <si>
    <t>9b00abfd-196c-4697-a9e2-df56ff57e76a</t>
  </si>
  <si>
    <t>f97c217d-1b02-4060-adc2-ab3a79d1902d</t>
  </si>
  <si>
    <t>f66dcbbf-d82b-42a8-b1e8-9d997f9301fe</t>
  </si>
  <si>
    <t>4be4bf24-6743-43bd-83b3-4fa9b45a396b</t>
  </si>
  <si>
    <t>f995562d-0f4a-42a1-8e97-782e77dd0f7a</t>
  </si>
  <si>
    <t>bfa7ea8e-4ea0-4200-a912-600502a50db2</t>
  </si>
  <si>
    <t>d8310ad6-089e-4ef9-84a3-70a1acbdca35</t>
  </si>
  <si>
    <t>fd59a385-b663-40d0-9bb6-b2f7e706aa98</t>
  </si>
  <si>
    <t>49180e7f-3084-481c-9f10-b83a6946a278</t>
  </si>
  <si>
    <t>56459e9c-e102-444d-9450-299f4bd72c64</t>
  </si>
  <si>
    <t>0f7c8dee-d296-4c50-afc2-ea82d452bbd0</t>
  </si>
  <si>
    <t>86a98bd5-cbab-47de-a33b-f6247446bf80</t>
  </si>
  <si>
    <t>c1e9eb7c-a238-4cef-a10d-c5d119d3d895</t>
  </si>
  <si>
    <t>c4b83e5f-39f3-424c-a85c-a7c89a5da12b</t>
  </si>
  <si>
    <t>Briana Helen Wells</t>
  </si>
  <si>
    <t>€23.00</t>
  </si>
  <si>
    <t>€0.74</t>
  </si>
  <si>
    <t>€22.26</t>
  </si>
  <si>
    <t>e1e08f6a-e273-458d-afb4-d4e5a75768aa</t>
  </si>
  <si>
    <t>b47fa9cd-68b2-4b53-a60e-8b49d3c56cb4</t>
  </si>
  <si>
    <t>90a4426f-7311-4475-ab2e-825e88f4e34d</t>
  </si>
  <si>
    <t>c2d5320c-3218-41c9-8de7-32b7a5918e0f</t>
  </si>
  <si>
    <t>523b19ea-e0b6-42cd-9fdc-2df22d68ce3c</t>
  </si>
  <si>
    <t>a903fe26-11cf-4eec-ad7e-0ab12a7099de</t>
  </si>
  <si>
    <t>d17351db-695d-4277-b613-0c2434bfb585</t>
  </si>
  <si>
    <t>48458cd3-4191-45f1-ae87-5cc5e66fd4be</t>
  </si>
  <si>
    <t>116054a1-8946-4a83-8722-745ed93aeee5</t>
  </si>
  <si>
    <t>e5275997-4548-4211-9241-75fc0f535da9</t>
  </si>
  <si>
    <t>7a328038-8b16-4d69-b183-501e3c4ad567</t>
  </si>
  <si>
    <t>f2affbb9-55b2-40b2-bfcc-b8b3d863af1e</t>
  </si>
  <si>
    <t>2fa90634-ebe9-4f33-b0a7-a29c0b6252a7</t>
  </si>
  <si>
    <t>6814d512-f72a-4a7a-8659-5a2f08fa1cc6</t>
  </si>
  <si>
    <t>0aec5879-7a30-4142-bef1-a80aeda5de6b</t>
  </si>
  <si>
    <t>a45c3140-9a85-4faf-a88b-2bfd77e59969</t>
  </si>
  <si>
    <t>d9410213-73f9-488c-948b-d4de278fed81</t>
  </si>
  <si>
    <t>5d341054-4d6c-4d15-9716-cf8fa50f473f</t>
  </si>
  <si>
    <t>fafe0bff-d1a9-4cb6-8410-02428f037323</t>
  </si>
  <si>
    <t>4ef1dd54-2960-4eb0-95e4-a7fff60078de</t>
  </si>
  <si>
    <t>de00503d-5fe0-4c46-97f7-6f62c7ae104d</t>
  </si>
  <si>
    <t>1aa3ea29-5438-4d36-8cc8-2e26bd9a92a5</t>
  </si>
  <si>
    <t>2eb729fe-eb5f-41f8-aa62-8f3be4c5b17d</t>
  </si>
  <si>
    <t>Francesco Cerrone</t>
  </si>
  <si>
    <t>dd64c2cd-392a-41f7-aa6c-cf57e74b9fa4</t>
  </si>
  <si>
    <t>39f59a76-b2db-4dec-a092-591639f3be1e</t>
  </si>
  <si>
    <t>c337aab5-a284-4f21-bdcd-c5d1731fdca4</t>
  </si>
  <si>
    <t>3ef40250-b73f-41fa-bbb8-5341bfce8ad4</t>
  </si>
  <si>
    <t>57a5ba85-1c32-45d2-a753-e3d218f23b01</t>
  </si>
  <si>
    <t>96b0f781-8635-4b89-ad48-116cef28776d</t>
  </si>
  <si>
    <t>a1278071-449f-423d-8c24-32ec401f812f</t>
  </si>
  <si>
    <t>d2426593-7c20-40ac-a7b7-6752b86ba9d3</t>
  </si>
  <si>
    <t>015563cc-2a2b-4d5c-9733-8f76d1ea6a34</t>
  </si>
  <si>
    <t>ac42d646-115a-4241-bf2f-b4bf67d9bb5f</t>
  </si>
  <si>
    <t>8253d8c9-2426-405e-88e5-14ed082d7391</t>
  </si>
  <si>
    <t>cdfc777e-79b6-47ba-9779-5c092a63374b</t>
  </si>
  <si>
    <t>cf1f96a4-2100-4e6d-baa0-1e594ff0253c</t>
  </si>
  <si>
    <t>cece406e-f846-4dca-8d68-cd5c91b62765</t>
  </si>
  <si>
    <t>2844630e-e420-4180-a4e3-d84322f54aa4</t>
  </si>
  <si>
    <t>9aecf9c5-9a4d-4343-a8d1-820266a5b0c1</t>
  </si>
  <si>
    <t>26f37079-7711-4031-b273-08d65ce52d9f</t>
  </si>
  <si>
    <t>4b2bbc58-6fa9-47c5-b25b-4aeb3c239ab0</t>
  </si>
  <si>
    <t>05b77b17-2906-4064-a41a-ca129dffcb2e</t>
  </si>
  <si>
    <t>3d77ce5b-61fe-495b-977c-417665b71b8f</t>
  </si>
  <si>
    <t>72f1403d-a555-47c7-a14e-b449a508f910</t>
  </si>
  <si>
    <t>94299b02-750b-46f0-b217-68de03abe6ae</t>
  </si>
  <si>
    <t>dae87531-09e2-43d7-8ee3-d0646793907b</t>
  </si>
  <si>
    <t>a8d1ef03-df9e-42f4-853c-60177579a767</t>
  </si>
  <si>
    <t>4d9c180f-c1bd-47a1-9ef2-81882583679b</t>
  </si>
  <si>
    <t>ec19d40c-feda-451e-a1c7-70290d3f431d</t>
  </si>
  <si>
    <t>3062c225-9839-4df9-aa47-e5efb6ca8480</t>
  </si>
  <si>
    <t>050f446b-5ea0-4dfc-ba61-a909a08ffc4e</t>
  </si>
  <si>
    <t>3140cdeb-0d5b-4ffd-8931-0d9ab1677467</t>
  </si>
  <si>
    <t>797edaca-0976-4525-8af3-b8957a7bd6bd</t>
  </si>
  <si>
    <t>d22cf93f-058e-4e83-b7b2-bbbec4e395e7</t>
  </si>
  <si>
    <t>3e67541e-92dd-40d4-92df-09eefc020d64</t>
  </si>
  <si>
    <t>e7cbb475-f536-42be-b193-9bd2cf9fe705</t>
  </si>
  <si>
    <t>c57d3fd0-e68d-4d6a-a247-4b4a02ace4e8</t>
  </si>
  <si>
    <t>a219d806-9887-491e-bb36-c699aa86ccda</t>
  </si>
  <si>
    <t>c422ba84-2de1-4924-b65a-10fbf3d418de</t>
  </si>
  <si>
    <t>27bcc5ba-5482-4b99-87b0-bdbf8827782b</t>
  </si>
  <si>
    <t>259ed27b-ae71-4b4d-9647-8050b43e8ccc</t>
  </si>
  <si>
    <t>a3bb7ed7-85e7-46f9-bbae-1e70692464ee</t>
  </si>
  <si>
    <t>f18dc648-87b4-4c04-ac35-4c96ce5b422f</t>
  </si>
  <si>
    <t>dd819604-6c85-4a1c-82e3-84c5cf128a58</t>
  </si>
  <si>
    <t>dd15abad-0034-4753-ba8b-ba4aab5fc962</t>
  </si>
  <si>
    <t>94ea3c42-d3ca-4862-94ec-8af80dc1a97f</t>
  </si>
  <si>
    <t>47b08999-9a5c-421b-8764-7cd9a203febf</t>
  </si>
  <si>
    <t>770ca9dd-95ac-4ff8-a8b2-849f74148b7b</t>
  </si>
  <si>
    <t>667cfa0e-584b-4a06-b8b8-65e52e87d2b2</t>
  </si>
  <si>
    <t>5ee467a2-3c8e-464a-9a38-2456633300ff</t>
  </si>
  <si>
    <t>cda552c8-847f-46f3-9069-51b46687663c</t>
  </si>
  <si>
    <t>fa98c0eb-24c1-4975-9b14-73fe60650065</t>
  </si>
  <si>
    <t>cfc6e56c-c5f6-40bf-b1bd-d8669048ae60</t>
  </si>
  <si>
    <t>a5453b92-d197-4fb3-b04a-c16f6853e0a5</t>
  </si>
  <si>
    <t>2a76b960-7da6-4417-9cb2-e0be762ffba3</t>
  </si>
  <si>
    <t>35966360-1c4b-4fb4-a1fb-0a597b338257</t>
  </si>
  <si>
    <t>e8dafb8e-2902-47ea-897a-633daa6f7f11</t>
  </si>
  <si>
    <t>ea56e8f1-b360-48ce-8069-e13f1cf9aa53</t>
  </si>
  <si>
    <t>7cf172fc-0349-4d05-a3a6-e59a8e981dae</t>
  </si>
  <si>
    <t>187b1a85-3cba-4630-a10f-80a6e654a25b</t>
  </si>
  <si>
    <t>521ffeac-0fcb-4721-b4fa-0dddd0977ea1</t>
  </si>
  <si>
    <t>d8b7461a-0c9a-4521-9a4c-e8f762b3c01a</t>
  </si>
  <si>
    <t>e216660f-6805-42b8-ac99-32591c65bfaa</t>
  </si>
  <si>
    <t>8066687a-8663-494e-b7c0-d4a57607a856</t>
  </si>
  <si>
    <t>51cf3c23-aef1-4e81-94b7-b64d60f19ba8</t>
  </si>
  <si>
    <t>12970ccf-e830-4cdd-b44c-af5f7b324f20</t>
  </si>
  <si>
    <t>2c895d54-94a0-4062-b855-2f1d6f8da2e5</t>
  </si>
  <si>
    <t>77c2376b-410b-4210-9fad-ac94a0563296</t>
  </si>
  <si>
    <t>7fabf6f4-5b8a-4cf1-b49b-b7dba3179bb5</t>
  </si>
  <si>
    <t>24a6481c-fe5f-42bb-be24-fd29e8b7b920</t>
  </si>
  <si>
    <t>8ecc23c2-f306-42a2-b765-77e9f6912cd6</t>
  </si>
  <si>
    <t>edb6892f-b0ab-4788-abaa-091e4a022349</t>
  </si>
  <si>
    <t>84172e8e-14fc-4057-97d8-62d7427d2366</t>
  </si>
  <si>
    <t>bc88445d-3d20-42cd-8227-e04d6517b170</t>
  </si>
  <si>
    <t>f9c74744-c11a-4719-91c5-9b7db74790eb</t>
  </si>
  <si>
    <t>193272d3-45a4-4efe-9750-ee18353eb02d</t>
  </si>
  <si>
    <t>dcf7bf87-6398-4b28-b03b-712dd5bbeda9</t>
  </si>
  <si>
    <t>d8a73c19-85da-4903-807f-ee683b52fe21</t>
  </si>
  <si>
    <t>ANIA ZIEMBA</t>
  </si>
  <si>
    <t>e363691e-b2d7-47a3-83ad-ccb266e36f51</t>
  </si>
  <si>
    <t>56a41f80-f542-4996-b8f6-bda254320097</t>
  </si>
  <si>
    <t>0fd587d9-1c2c-41fd-8769-646a5a730116</t>
  </si>
  <si>
    <t>b022b83e-0ce1-4e1a-aa78-307ee18b920f</t>
  </si>
  <si>
    <t>c444498b-2fd2-429d-bbf1-50a8ae99fdd8</t>
  </si>
  <si>
    <t>41c82ab1-42c3-409b-9ef0-8ca0df890d90</t>
  </si>
  <si>
    <t>77be96ec-4255-4d51-93d1-34cfeac8642f</t>
  </si>
  <si>
    <t>fcf0fcc0-8eed-4b20-bc5d-c45e4de95078</t>
  </si>
  <si>
    <t>ae599942-3ee3-417d-95ba-9de2ad9c1b0b</t>
  </si>
  <si>
    <t>860539df-2df2-4558-a51c-ebdb69ffdd3f</t>
  </si>
  <si>
    <t>€3.08</t>
  </si>
  <si>
    <t>€0.44</t>
  </si>
  <si>
    <t>€2.64</t>
  </si>
  <si>
    <t>51681277-44b3-470b-8c71-10b773c619bc</t>
  </si>
  <si>
    <t>c6b647fa-d184-4f08-b3e5-cb390485697d</t>
  </si>
  <si>
    <t>0c413867-8e4a-4c70-9e16-f0903d94d781</t>
  </si>
  <si>
    <t>aeb5d8f0-6ba6-4007-964b-05ec96cdab98</t>
  </si>
  <si>
    <t>€2.62</t>
  </si>
  <si>
    <t>7d209e3c-3bfe-4321-8628-43cfdaaf4b1b</t>
  </si>
  <si>
    <t>9c383cd0-e96b-47de-88db-152f7e777cb7</t>
  </si>
  <si>
    <t>7221cbd1-1499-4c78-9321-e888092dd5dc</t>
  </si>
  <si>
    <t>d8c2a1f6-bc38-4072-9297-2b8079131623</t>
  </si>
  <si>
    <t>acfdd3e7-6b63-4a81-af72-dcf31e7ce184</t>
  </si>
  <si>
    <t>ecd63acf-0d79-44f4-af51-bc22d918fe82</t>
  </si>
  <si>
    <t>f7565af5-f624-4025-8be1-d35bd21aac72</t>
  </si>
  <si>
    <t>7516a126-61c7-4960-931b-41654c0b49fa</t>
  </si>
  <si>
    <t>4cef0687-160f-4d5b-b1ad-7aea06f5cb58</t>
  </si>
  <si>
    <t>86b73cf5-b50b-4b60-a391-0bd6154cdb96</t>
  </si>
  <si>
    <t>Marie Muller-Feuga</t>
  </si>
  <si>
    <t>ff9373c6-d39f-457c-9f03-318e11bf0a63</t>
  </si>
  <si>
    <t>6b574fba-9384-403e-bb52-a1b85339efd1</t>
  </si>
  <si>
    <t>838d7d20-b349-47d7-8308-a3031accc7ed</t>
  </si>
  <si>
    <t>Previous Wix Payments version</t>
  </si>
  <si>
    <t>1a687eef-4690-4653-8e5f-3153e72499b6</t>
  </si>
  <si>
    <t>cb3cc4ce-722c-481d-a498-51826ca26132</t>
  </si>
  <si>
    <t>111b88fb-424c-4eb9-be60-212f64e7b53d</t>
  </si>
  <si>
    <t>3f2952c7-8367-4194-b98a-96d30df8d3a5</t>
  </si>
  <si>
    <t>53106fb9-25d0-45d9-9dc7-423f363eeee2</t>
  </si>
  <si>
    <t>011215be-cb3d-4184-aca6-1306cca1d62c</t>
  </si>
  <si>
    <t>08191e42-e10a-4bf0-bc21-8ef86fb9c398</t>
  </si>
  <si>
    <t>9fb74adb-0a0a-402a-ab05-4406f2ffa6d3</t>
  </si>
  <si>
    <t>€8.21</t>
  </si>
  <si>
    <t>dfcb6ab9-3ae2-4ba1-9fb2-bb7b43d0e1e1</t>
  </si>
  <si>
    <t>89c1140b-27d9-4b45-81ce-683b50add342</t>
  </si>
  <si>
    <t>€0.71</t>
  </si>
  <si>
    <t>€7.50</t>
  </si>
  <si>
    <t>0f1c4831-522a-4dc9-a37d-90b987fb7906</t>
  </si>
  <si>
    <t>e5c2901e-b82a-44dc-98aa-db1d00e7f165</t>
  </si>
  <si>
    <t>bced12ff-cd26-4d84-b948-b3e9176c737d</t>
  </si>
  <si>
    <t>530cf149-cdba-47dc-86ac-fc4bd8cb68c7</t>
  </si>
  <si>
    <t>5504932c-6b95-4f70-9a43-d06e5808e8dc</t>
  </si>
  <si>
    <t>37cf2cd6-d5ba-443b-9393-d05c8b45fe7c</t>
  </si>
  <si>
    <t>85bf1950-3692-400b-aed3-d3cba122f8d1</t>
  </si>
  <si>
    <t>b9ba1ecb-36e4-4ab6-8bcd-ee44574ebd76</t>
  </si>
  <si>
    <t>2c98ec7c-f9de-4f36-9b82-1e1f7fd72ff7</t>
  </si>
  <si>
    <t>fe18701e-1e93-4b77-a944-b7206363abad</t>
  </si>
  <si>
    <t>29279196-db86-4f50-9a6e-56a9312bbd7d</t>
  </si>
  <si>
    <t>70c5bb83-5c28-46d7-8a4f-e7cd3f7bbb42</t>
  </si>
  <si>
    <t>6b6ede25-6f21-4bce-b934-f563079a4b1d</t>
  </si>
  <si>
    <t>ace51d47-2445-4065-ae6a-66d8a9833cf0</t>
  </si>
  <si>
    <t>2844187b-524c-465b-ac59-5a9155da2b3d</t>
  </si>
  <si>
    <t>7678d92f-bbb2-4880-a854-e83b4982ae54</t>
  </si>
  <si>
    <t>e9ac193d-1494-4f26-9040-7674b3281043</t>
  </si>
  <si>
    <t>eca8eafd-e01b-4a81-ba77-ee6e57895ba0</t>
  </si>
  <si>
    <t>7c0a26c1-545f-42a2-814a-9c7b696ee994</t>
  </si>
  <si>
    <t>79028f0e-7017-4923-85e2-02b8186b8253</t>
  </si>
  <si>
    <t>aa65c0c5-56ad-42e9-a936-51bf28f402ce</t>
  </si>
  <si>
    <t>03c1b92d-63c5-447b-b5fd-976841ffe029</t>
  </si>
  <si>
    <t>fe4290a4-9cd8-40fe-aa30-c6a61de056cc</t>
  </si>
  <si>
    <t>2a47afcf-88c4-46ed-9c63-d2d548d9a98d</t>
  </si>
  <si>
    <t>cf61b1f3-5808-47e1-850b-6fb76a54674e</t>
  </si>
  <si>
    <t>6b28e83f-c215-40c8-93f1-425a5ba621b2</t>
  </si>
  <si>
    <t>€63.55</t>
  </si>
  <si>
    <t>€3.03</t>
  </si>
  <si>
    <t>€60.52</t>
  </si>
  <si>
    <t>564cad30-8af0-4eb5-9fda-81994a7d9b94</t>
  </si>
  <si>
    <t>f3e56d61-5f33-4094-9d41-f1721efa871c</t>
  </si>
  <si>
    <t>90d83462-2c51-421e-a4cb-17fea333fb84</t>
  </si>
  <si>
    <t>366b9ca2-6fde-4a83-a302-28dba3e8f7a0</t>
  </si>
  <si>
    <t>b3b30c6d-1620-4f00-84c4-6f446d2cd602</t>
  </si>
  <si>
    <t>42ebf0ae-c1b6-49c8-8aab-2a06a4985a12</t>
  </si>
  <si>
    <t>cce95916-8963-46a7-8f66-71e53b16c2d7</t>
  </si>
  <si>
    <t>63d293f8-d8f4-430b-9c06-b4352942c099</t>
  </si>
  <si>
    <t>c03f35a6-f50d-42e7-9b5f-b874d4cfb0d2</t>
  </si>
  <si>
    <t>7dac8a12-6e55-45bb-88a7-7f5f2ab8f9e7</t>
  </si>
  <si>
    <t>€3.40</t>
  </si>
  <si>
    <t>€60.15</t>
  </si>
  <si>
    <t>aa26c881-e1ce-4ebd-bf57-080462c52a90</t>
  </si>
  <si>
    <t>f1c71263-ff54-443f-83d8-273462f3a2f3</t>
  </si>
  <si>
    <t>ee02faef-4c37-41fc-927f-d6553ea58425</t>
  </si>
  <si>
    <t>363b558b-7d28-4d5e-b8ed-15b0c7ffbac2</t>
  </si>
  <si>
    <t>f175b580-5afd-4c14-bff7-a8cdafb85411</t>
  </si>
  <si>
    <t>e4d78ee9-c3f8-479f-bb9b-8941215c42d4</t>
  </si>
  <si>
    <t>cb2d52dc-adc6-47ec-a071-25c8ea1d86e7</t>
  </si>
  <si>
    <t>06940438-f2f7-4d9c-8bd7-b1a0d9d29ed2</t>
  </si>
  <si>
    <t>Dorothee Mainusch-Komorek</t>
  </si>
  <si>
    <t>6868f5d0-8500-4aae-b0cf-ee6823cadfb8</t>
  </si>
  <si>
    <t>d87d309a-739d-4214-8fc7-c805dbb75188</t>
  </si>
  <si>
    <t>c8248bae-6a37-4434-bf52-e8f7c99270a3</t>
  </si>
  <si>
    <t>7277cdad-dc7f-4145-be07-cc590d884ae2</t>
  </si>
  <si>
    <t>ae5beda3-d7fc-4cf8-bdab-96a4fa01f95c</t>
  </si>
  <si>
    <t>d7b69a00-81df-4b9a-94a4-e2c7937bdfff</t>
  </si>
  <si>
    <t>d19e53c3-5a61-481c-824f-4a56d15bbc91</t>
  </si>
  <si>
    <t>1fe32ca9-46b8-4985-96a0-6fdb77075fbf</t>
  </si>
  <si>
    <t>94022ac4-de83-4a3a-96bb-70d13cd5a15a</t>
  </si>
  <si>
    <t>15b3573e-7482-480c-8b04-521c6925d9f4</t>
  </si>
  <si>
    <t>1d77a289-dc43-487c-a9b9-69df56977b2c</t>
  </si>
  <si>
    <t>5921de66-361a-4d74-914d-d236bf892f4a</t>
  </si>
  <si>
    <t>fd6d7924-52e0-4f0f-9891-3787f66cb416</t>
  </si>
  <si>
    <t>a9dbfff9-bada-4d3e-9fa4-a31515883c34</t>
  </si>
  <si>
    <t>823fa5ab-8ee2-4e1d-8980-249a103b5858</t>
  </si>
  <si>
    <t>9125317a-9ef8-45d7-8828-6fb0d552efec</t>
  </si>
  <si>
    <t>0fe0fd5d-5dfc-451a-b15a-8e7e2e7dc4f6</t>
  </si>
  <si>
    <t>9097a4ce-c9dc-46ec-8d59-cda359319948</t>
  </si>
  <si>
    <t>c46be65c-347a-41ef-977c-72fd53f72cc9</t>
  </si>
  <si>
    <t>ce069abc-13f5-49df-89f3-ee8d704535e2</t>
  </si>
  <si>
    <t>8ffb9a74-cedf-47d0-ae6f-9e46c9c138e1</t>
  </si>
  <si>
    <t>d37f1fdc-d3fd-4dbc-8e5d-611866bdf664</t>
  </si>
  <si>
    <t>8f2967e4-8cde-45b7-80fb-f6f43104ec30</t>
  </si>
  <si>
    <t>7ed85ae2-9eb3-4330-a740-d9a4c4183f5e</t>
  </si>
  <si>
    <t>d2909bdb-e927-4266-a2f4-08e87f902fa5</t>
  </si>
  <si>
    <t>00d47ae3-58f2-4171-afd9-e74b67bd878d</t>
  </si>
  <si>
    <t>6d101f69-adf6-4a9a-80e7-7d19ad780805</t>
  </si>
  <si>
    <t>891b6890-b18d-4107-8fe8-16fb02407877</t>
  </si>
  <si>
    <t>c702e78e-5eef-468a-8b56-466108e84d5f</t>
  </si>
  <si>
    <t>42bc8516-ab83-42b3-a17f-767c0b3cfa7a</t>
  </si>
  <si>
    <t>€127.10</t>
  </si>
  <si>
    <t>€6.50</t>
  </si>
  <si>
    <t>€120.60</t>
  </si>
  <si>
    <t>39b3a142-7db2-4ff9-8e31-17e3bded1161</t>
  </si>
  <si>
    <t>62625493-62e5-408b-b2ad-51836d9db172</t>
  </si>
  <si>
    <t>cbb08406-aea4-43ea-b12e-8efc0802cea8</t>
  </si>
  <si>
    <t>3e11c0d4-066d-433e-bd11-b9ccc3ff155b</t>
  </si>
  <si>
    <t>69eefa98-5bfc-441c-9c5d-ad5e9070f0ca</t>
  </si>
  <si>
    <t>0c54d204-45a1-495b-89b4-5f52debb4714</t>
  </si>
  <si>
    <t>50bf1715-3ffc-4cc9-8b79-056fbb038ba3</t>
  </si>
  <si>
    <t>96d014aa-b044-4fd3-a325-029cb25366b8</t>
  </si>
  <si>
    <t>95e4d6c4-dfc8-469f-8c71-ed4ca51be108</t>
  </si>
  <si>
    <t>41669f7c-d4c8-4bb7-9a71-84e5fe2b8503</t>
  </si>
  <si>
    <t>be1b2717-ae43-4864-b0af-1f7622cb7af6</t>
  </si>
  <si>
    <t>bd9d12d4-e1bf-4b4a-bc0d-05342b3dcf7a</t>
  </si>
  <si>
    <t>a7e9baa6-0fcd-4e07-8830-fe1c88b92947</t>
  </si>
  <si>
    <t>4a649a4d-7acc-4101-b739-3a2e04407c10</t>
  </si>
  <si>
    <t>89ad305d-016b-41f3-8100-f1535302a1a0</t>
  </si>
  <si>
    <t>9237068c-263a-4829-b6fa-0472d05f3eb5</t>
  </si>
  <si>
    <t>3328733a-0384-4d69-87d8-24b4c0d1c761</t>
  </si>
  <si>
    <t>662c5757-01ad-4754-90d8-8bbc3e9a997a</t>
  </si>
  <si>
    <t>41d87f27-8938-4b71-9108-def46cbf2cd1</t>
  </si>
  <si>
    <t>1df91a42-aa6e-48b7-929f-275e09381ba3</t>
  </si>
  <si>
    <t>dacba054-501b-4716-8bb9-c5c6102c7119</t>
  </si>
  <si>
    <t>344c653c-ca13-4093-ad61-ace49682dbf5</t>
  </si>
  <si>
    <t>efbc460d-371a-42f5-84e5-79a203492651</t>
  </si>
  <si>
    <t>e71d5eed-7105-46ed-99d1-d703d145f5df</t>
  </si>
  <si>
    <t>e81b8f37-f593-4481-a695-7df2ccb6b0ea</t>
  </si>
  <si>
    <t>2515edd0-d3d5-4442-b88d-dc486e22557b</t>
  </si>
  <si>
    <t>9bd127a4-4b68-4723-ab4f-1cc6e966db01</t>
  </si>
  <si>
    <t>fa10efde-967e-482b-96b3-268c9cffecf1</t>
  </si>
  <si>
    <t>b2d7a8c3-f8f5-4aac-9ff0-680aab4b7b1f</t>
  </si>
  <si>
    <t>22d792b8-c196-4013-b71b-4ec4beb892b1</t>
  </si>
  <si>
    <t>77b53042-44da-4cea-8358-b47bc0bed4f6</t>
  </si>
  <si>
    <t>04101a3f-d9a6-4f1f-af07-3b31ab96e3e3</t>
  </si>
  <si>
    <t>3caefa03-5bd1-4a04-9ab4-b6a1dc9e1eda</t>
  </si>
  <si>
    <t>Peter Switala</t>
  </si>
  <si>
    <t>0c790fc0-dfbb-4188-937c-eb28e087090b</t>
  </si>
  <si>
    <t>45e753bb-65ab-4c3f-a6a0-49571de7a34d</t>
  </si>
  <si>
    <t>1bee32f9-1650-40f5-8440-a4d96ece740c</t>
  </si>
  <si>
    <t>3c89006a-43be-4c27-8a10-80bb5d5fbdbf</t>
  </si>
  <si>
    <t>4fab74fd-ff32-4b9a-b7b3-073a7e528c93</t>
  </si>
  <si>
    <t>9cdabca6-5c94-407c-8c88-30c7a8c1667e</t>
  </si>
  <si>
    <t>f17b58de-861d-4783-a462-a359e8164cbd</t>
  </si>
  <si>
    <t>fc9fa57d-1f19-41c2-958e-74d797987c80</t>
  </si>
  <si>
    <t>29ee52f3-4ef0-485b-8efb-a79e0775a539</t>
  </si>
  <si>
    <t>a8ada0e9-c685-44f2-ba1c-43867f13fe5c</t>
  </si>
  <si>
    <t>25c94fa5-175e-4795-83e8-b0cd56d5a5db</t>
  </si>
  <si>
    <t>28e936cb-b591-4cd7-baed-c32dc8f1bf31</t>
  </si>
  <si>
    <t>3be56b73-a584-4ecd-9820-eacdd23337e0</t>
  </si>
  <si>
    <t>f6a0a475-e702-4f08-8511-213fccc8e2dd</t>
  </si>
  <si>
    <t>b6d6c892-76ce-49c7-9dd2-01f4ca8bc9af</t>
  </si>
  <si>
    <t>d6e8a28e-224d-4573-907d-4ef4cf672f3d</t>
  </si>
  <si>
    <t>caf5c402-6e7d-4dbb-b7ce-9d26e1080fc3</t>
  </si>
  <si>
    <t>554d84bd-59c5-4a22-b134-5553aec434f3</t>
  </si>
  <si>
    <t>2b97733b-4b64-466e-b158-eb707a3699bb</t>
  </si>
  <si>
    <t>8a952e0c-c8e2-4752-8bf4-2a15328e68ec</t>
  </si>
  <si>
    <t>87a9a081-cf57-4c4b-8627-1de95371fcf6</t>
  </si>
  <si>
    <t>4f17676f-99d2-48e8-b875-adac5badf533</t>
  </si>
  <si>
    <t>97d105b2-57b3-4b79-a4e2-743487835a3a</t>
  </si>
  <si>
    <t>a554b431-9127-43d7-9798-66475ed8ae81</t>
  </si>
  <si>
    <t>fd83b726-13e9-4544-935b-2e76691723b8</t>
  </si>
  <si>
    <t>516325f8-ed32-4512-990f-aa18ce2df1cf</t>
  </si>
  <si>
    <t>eac3537f-3eaf-4652-bb09-8387a9019f22</t>
  </si>
  <si>
    <t>65b5b472-4fa0-4ebd-aed8-3dbe96bc654c</t>
  </si>
  <si>
    <t>63679995-fd71-4492-96dd-7ecfda5b29df</t>
  </si>
  <si>
    <t>1f8738ee-e5cd-4c4e-9589-75b0939fe450</t>
  </si>
  <si>
    <t>e076e00b-e69d-4bc8-a785-63773248791f</t>
  </si>
  <si>
    <t>a30cff31-5896-4521-99ed-4cc21240fc42</t>
  </si>
  <si>
    <t>46d2f6fd-19a3-437e-b771-e4078e7f7f8c</t>
  </si>
  <si>
    <t>e1796307-8a21-4cb4-937d-99438ac4e744</t>
  </si>
  <si>
    <t>cc3ac8ee-4423-4665-b2af-eb2b1e7dd485</t>
  </si>
  <si>
    <t>123db622-e67a-4266-91e9-71a98d5127cd</t>
  </si>
  <si>
    <t>Hannah Roos Kamp</t>
  </si>
  <si>
    <t>f87598af-456c-42be-9cbe-8fb35149aec1</t>
  </si>
  <si>
    <t>578c58bd-6db8-48d4-8264-0cb8e9374ba1</t>
  </si>
  <si>
    <t>0d772b62-0f0d-4b12-bfe8-6ecdd42bda40</t>
  </si>
  <si>
    <t>d74668ba-08b1-4bf3-b9c7-cf6a35d4ecb9</t>
  </si>
  <si>
    <t>1f8c0979-0de6-406f-8c23-067973ca7e4c</t>
  </si>
  <si>
    <t>43f6fa8e-2bb6-47b5-9a49-eb786da969bb</t>
  </si>
  <si>
    <t>7bc8c453-e1e7-4b09-a591-bba25c087f65</t>
  </si>
  <si>
    <t>06372cd8-2d6f-45e6-a255-235346fe7037</t>
  </si>
  <si>
    <t>597e973f-8280-43df-a150-3e024f0a9a4d</t>
  </si>
  <si>
    <t>d14a6e82-51a4-40d5-8c58-fcb3f86f837f</t>
  </si>
  <si>
    <t>Laura peirs</t>
  </si>
  <si>
    <t>dd575e49-ece6-477f-936a-71b525b4cb3a</t>
  </si>
  <si>
    <t>e40bf8b6-8a9a-4bca-889c-095a9fe9cf28</t>
  </si>
  <si>
    <t>Karla Behrendt</t>
  </si>
  <si>
    <t>02e01fe9-42e9-4ee0-b3a2-0c7d76018d34</t>
  </si>
  <si>
    <t>4ce61df1-e28d-43e1-9055-494721183648</t>
  </si>
  <si>
    <t>3c8e0e4d-1190-49d1-a6d5-460d07470023</t>
  </si>
  <si>
    <t>7b11b697-2fb9-4108-98ea-76b90d3a810e</t>
  </si>
  <si>
    <t>2944409f-baf8-448d-b1fb-127e517cdc38</t>
  </si>
  <si>
    <t>03cfc63f-925a-4ce2-a56c-487021b62845</t>
  </si>
  <si>
    <t>Eva Juzna</t>
  </si>
  <si>
    <t>Eva Južna</t>
  </si>
  <si>
    <t>5bf5d7b9-1257-40c2-ac25-321f95bddd03</t>
  </si>
  <si>
    <t>9c4dcf11-6eff-43c6-946c-14ce2ca48708</t>
  </si>
  <si>
    <t>36fae660-d3fe-4e0d-8ec1-58755358c202</t>
  </si>
  <si>
    <t>65604ecd-32a1-4a66-974d-9ca9d00ae4f7</t>
  </si>
  <si>
    <t>84047274-f49c-401a-9aa0-f8ab5975dd4c</t>
  </si>
  <si>
    <t>a704d322-6c8b-4ace-9c69-fbe753594943</t>
  </si>
  <si>
    <t>037889cd-ee10-4f4b-88bf-cbdc43bf0b8e</t>
  </si>
  <si>
    <t>eb425999-7165-4695-95ba-79db26e18301</t>
  </si>
  <si>
    <t>ef007a3b-3469-4987-83b7-4e04a43a82ba</t>
  </si>
  <si>
    <t>70e34027-4247-40c0-9498-d35ba782731e</t>
  </si>
  <si>
    <t>c92742f8-cb1f-4a0b-85d6-c60359c27379</t>
  </si>
  <si>
    <t>fb2bc9df-1248-4eaf-bcbf-c22a474e48eb</t>
  </si>
  <si>
    <t>fae7b03e-ce49-4a65-ba62-ff9e658e8362</t>
  </si>
  <si>
    <t>61c87b72-e81d-417d-9ce9-99f466569f96</t>
  </si>
  <si>
    <t>789e7791-306f-42e4-a352-a81a6e2a89b6</t>
  </si>
  <si>
    <t>3d74012c-a4fc-4f46-9a15-bd1c63e14066</t>
  </si>
  <si>
    <t>70e11491-3c6a-4a05-8222-66f9a078e0a1</t>
  </si>
  <si>
    <t>a7add45b-003e-4b00-a06d-bd3d3e5e1675</t>
  </si>
  <si>
    <t>f0d9a028-3495-4220-939b-f31889ffab28</t>
  </si>
  <si>
    <t>ba99b42c-0dcc-4c98-8d08-b2195584da9c</t>
  </si>
  <si>
    <t>371434f3-5f60-4214-91d9-8b1d7db983b1</t>
  </si>
  <si>
    <t>647dac94-4ccd-40e4-a1c7-2aafb7382382</t>
  </si>
  <si>
    <t>ce339c1a-b1d0-41a2-8061-a22f04e073b8</t>
  </si>
  <si>
    <t>81b5817a-f747-4343-b1f4-7e7f5972663c</t>
  </si>
  <si>
    <t>8213fa01-671d-493a-bdcd-3b3cb16d5568</t>
  </si>
  <si>
    <t>ac16805c-355c-4976-ac37-6d399ad22b7c</t>
  </si>
  <si>
    <t>Céleste Beriot</t>
  </si>
  <si>
    <t>€5.76</t>
  </si>
  <si>
    <t>€121.34</t>
  </si>
  <si>
    <t>f842c011-31d3-4ca8-83a7-b6d3fca004a6</t>
  </si>
  <si>
    <t>39f4f853-e18e-4f53-aad5-03b1cda91067</t>
  </si>
  <si>
    <t>910c28de-263f-439a-80e3-c38b4349876a</t>
  </si>
  <si>
    <t>aa6ad518-647b-41f9-b6eb-46d2765c05b0</t>
  </si>
  <si>
    <t>7c8fc380-e61e-4d06-a57a-baef79bb3aac</t>
  </si>
  <si>
    <t>63cc8d00-5dcf-43ec-9929-de35b5cc602a</t>
  </si>
  <si>
    <t>254203af-1da3-49aa-9d1a-b0f2df575162</t>
  </si>
  <si>
    <t>07e12397-cc5e-486d-a184-fe3953f3a03c</t>
  </si>
  <si>
    <t>95fc4bec-ebb6-424c-9ba1-3987e1b020b4</t>
  </si>
  <si>
    <t>08dfa0c2-e9fe-4f9c-9b78-e9ef03003af3</t>
  </si>
  <si>
    <t>6b26c5d4-85b6-4779-88a3-6a39e54e20d9</t>
  </si>
  <si>
    <t>3704bc10-562f-43b2-a4d5-889f6db0ee8d</t>
  </si>
  <si>
    <t>690ed3f8-997d-4cac-ba5f-6481be3a6447</t>
  </si>
  <si>
    <t>Heike Eichhorn</t>
  </si>
  <si>
    <t>€3.77</t>
  </si>
  <si>
    <t>€59.78</t>
  </si>
  <si>
    <t>aa831b41-874e-4c75-8b20-82afeb230980</t>
  </si>
  <si>
    <t>a2364468-b160-49da-936a-f8ab535a1caf</t>
  </si>
  <si>
    <t>7c806769-1a9e-4903-bd34-3c2c9fdb44b9</t>
  </si>
  <si>
    <t>Isabelle Hodel</t>
  </si>
  <si>
    <t>597b92b0-b74b-489e-8a7b-e3e6db55c210</t>
  </si>
  <si>
    <t>94a42998-ddd9-452b-8c05-9265e00dc375</t>
  </si>
  <si>
    <t>70596f5f-5f8d-4613-833a-3ec28c3b9d56</t>
  </si>
  <si>
    <t>8034d86c-e01d-4834-9ce3-3467324dee2c</t>
  </si>
  <si>
    <t>2db853c2-7fa6-4583-a7e3-f2ca1864d10c</t>
  </si>
  <si>
    <t>16c44607-7e16-4ce6-b92e-4b2867480038</t>
  </si>
  <si>
    <t>7f7574e5-4f83-40c3-8989-9dccc4a951ea</t>
  </si>
  <si>
    <t>5d8b1068-16e3-4fbf-9064-2230a66d4d40</t>
  </si>
  <si>
    <t>b51cc21a-5d3d-4ecc-8eac-27357d1eca11</t>
  </si>
  <si>
    <t>2ec07586-881b-409c-b78f-4d7beeff39a9</t>
  </si>
  <si>
    <t>ef6f6437-cf38-420a-b6b7-9fe6eacd05cb</t>
  </si>
  <si>
    <t>4d0c39af-1f03-4373-991e-0ecb80880f15</t>
  </si>
  <si>
    <t>e3a21d27-efd9-4b9f-b225-5d33f713dbad</t>
  </si>
  <si>
    <t>e4d43620-c801-473e-bd5a-9da86e9f8707</t>
  </si>
  <si>
    <t>8dc32a4d-b5b2-490c-9289-f3e3994fb5dc</t>
  </si>
  <si>
    <t>4e9e8e8f-9810-4409-8c24-7b7cd4b8cf57</t>
  </si>
  <si>
    <t>01951c36-dbea-4532-b1fc-571ccee623c4</t>
  </si>
  <si>
    <t>03e6ba1c-9dcf-4d82-bd53-8a1f4eff92a9</t>
  </si>
  <si>
    <t>c4630299-e852-4c30-8b98-3d82e404e8eb</t>
  </si>
  <si>
    <t>44894994-293a-42f7-a36d-5142fa0e96fa</t>
  </si>
  <si>
    <t>€1.54</t>
  </si>
  <si>
    <t>€0.37</t>
  </si>
  <si>
    <t>€1.17</t>
  </si>
  <si>
    <t>fe3e736b-4403-4f12-949d-de19262e1c13</t>
  </si>
  <si>
    <t>570b8df3-a17c-425f-b2d5-0bb3f57a9f20</t>
  </si>
  <si>
    <t>2552ea16-4831-4a77-9a04-842a156a610f</t>
  </si>
  <si>
    <t>ba3fb325-43e4-4971-a7f1-626d597f4ab3</t>
  </si>
  <si>
    <t>d2daf2f7-46e9-4adb-a628-0e3bb2ee73bf</t>
  </si>
  <si>
    <t>€0.38</t>
  </si>
  <si>
    <t>€1.16</t>
  </si>
  <si>
    <t>a3c9890a-978b-4614-bb3d-ff51a14467d9</t>
  </si>
  <si>
    <t>3c4fad84-265a-45fd-ae7b-be2f7b204d5a</t>
  </si>
  <si>
    <t>3badfd60-33f2-405e-8ce2-fdf034eee457</t>
  </si>
  <si>
    <t>e70ff2b1-5a76-404a-9075-3c5ca8d87bb0</t>
  </si>
  <si>
    <t>6b75308c-d01e-4cfa-8837-0b626cfe70e2</t>
  </si>
  <si>
    <t>73c711a6-9a7f-4108-892d-66aebc6698ba</t>
  </si>
  <si>
    <t>cb2b5899-5fb4-497a-8e38-55c628a1a994</t>
  </si>
  <si>
    <t>051110ae-8544-41e7-a0d7-2c771863f5ff</t>
  </si>
  <si>
    <t>22ec6e31-a64c-4289-b439-02c0e0d25b8d</t>
  </si>
  <si>
    <t>bdc8a9b7-8f69-40f8-9ebd-4d9f281e6604</t>
  </si>
  <si>
    <t>64678842-bbd5-46d8-858a-aceabc8f396c</t>
  </si>
  <si>
    <t>c6506214-98ab-4374-81b7-218cbf9833d2</t>
  </si>
  <si>
    <t>13a9a591-74e8-40c4-9287-a201ead678c4</t>
  </si>
  <si>
    <t>550c80bc-be5b-46ff-978c-92c3588a5657</t>
  </si>
  <si>
    <t>19d319a3-314f-48a3-bd11-8eed735a9434</t>
  </si>
  <si>
    <t>23235448-499a-4717-82e7-a7dc81513e86</t>
  </si>
  <si>
    <t>8fe1c8c3-0857-4732-b0a0-a198a2a0a11a</t>
  </si>
  <si>
    <t>cc9ebfbc-dcb7-47fe-9057-3131261fdb19</t>
  </si>
  <si>
    <t>aafd8ef2-8dca-448d-a67e-bef29661730c</t>
  </si>
  <si>
    <t>1236b01a-516a-46a4-b872-1c7a74b481bf</t>
  </si>
  <si>
    <t>a987326a-9400-4467-a64f-5e650ee6659b</t>
  </si>
  <si>
    <t>d07889d7-f89f-4473-b2d2-289b202cf119</t>
  </si>
  <si>
    <t>497d2d4d-9b10-4d9d-bcba-e5119f3bd284</t>
  </si>
  <si>
    <t>e7a4e192-920a-4740-9582-ada006c63d5c</t>
  </si>
  <si>
    <t>4a2b4796-3a12-4661-8a49-df7057dd34a8</t>
  </si>
  <si>
    <t>e87ed986-6912-4489-ba76-8dc2387632d9</t>
  </si>
  <si>
    <t>2180faa9-3904-46a4-9cc9-9d23cf3c56f1</t>
  </si>
  <si>
    <t>e437dd2a-3ae5-405c-80b0-a86c64de8d60</t>
  </si>
  <si>
    <t>aed2983c-a65c-453e-8773-7316b4d26831</t>
  </si>
  <si>
    <t>31ba325b-a76a-4b18-b54e-383da0d863dd</t>
  </si>
  <si>
    <t>01b55b31-1a8f-413c-bdbc-64e74ae660e7</t>
  </si>
  <si>
    <t>1d645e4a-1d20-4fb6-adf6-ff4b677fa011</t>
  </si>
  <si>
    <t>114a21c4-30f6-40ab-b9ac-ac11af2853a3</t>
  </si>
  <si>
    <t>a5dfaa3d-beda-4499-ae4b-a69d08e68a9e</t>
  </si>
  <si>
    <t>01342ccc-778f-4a6a-a945-d0831b7fcb2c</t>
  </si>
  <si>
    <t>a494ae01-620f-44b7-b6f5-e5767ebf8511</t>
  </si>
  <si>
    <t>fd86ce74-ea1d-41d1-908e-e8e8d6911415</t>
  </si>
  <si>
    <t>a82d6df6-8415-4516-876f-5ad57e8ab195</t>
  </si>
  <si>
    <t>c58c1bad-3195-4eb2-9986-50996b1b9c66</t>
  </si>
  <si>
    <t>2f1850b2-fa4b-4c96-abb0-f63e7cb84c58</t>
  </si>
  <si>
    <t>€4.62</t>
  </si>
  <si>
    <t>€0.51</t>
  </si>
  <si>
    <t>917245c9-ac7c-4bb4-93b5-64ac322788e5</t>
  </si>
  <si>
    <t>ec536e1a-8760-4dae-89df-5fb0b24c2ea8</t>
  </si>
  <si>
    <t>bc69fb64-5190-4500-9468-aa7680a5074b</t>
  </si>
  <si>
    <t>4a276bd6-7b21-4fdc-8c69-d8f9f88d4d8b</t>
  </si>
  <si>
    <t>1d5f6635-c38e-49a7-adeb-3f841864f378</t>
  </si>
  <si>
    <t>5e6c01e3-7e71-4f18-9b3f-a8e4066946a7</t>
  </si>
  <si>
    <t>a5e1727c-cddc-4b04-810c-3149f62814a3</t>
  </si>
  <si>
    <t>fd7043ca-7e4f-435a-88ea-42f0d90fe96f</t>
  </si>
  <si>
    <t>70f59a96-061d-42e0-abac-f0ba8de760dc</t>
  </si>
  <si>
    <t>161e1500-a956-4876-b61f-73ff5c116952</t>
  </si>
  <si>
    <t>788b6d04-a004-45be-96c3-dab1158d384a</t>
  </si>
  <si>
    <t>f127f79d-60bf-45cd-8fa3-af15c242ed18</t>
  </si>
  <si>
    <t>a64c1551-c2dd-46dc-9e6d-0588c24717c9</t>
  </si>
  <si>
    <t>6fe58b4a-e6b4-49d2-9010-7f4ccbd5768c</t>
  </si>
  <si>
    <t>e53bf85d-f1e3-49e0-a376-c3b200ab4d14</t>
  </si>
  <si>
    <t>6add9d9e-2aa9-46ef-94be-fd7bdba73c71</t>
  </si>
  <si>
    <t>a7c76a9d-758d-451e-9f93-cbdaf69545aa</t>
  </si>
  <si>
    <t>36b1afc4-a732-45e6-8de2-7442f1e3cc5b</t>
  </si>
  <si>
    <t>76f5f177-daef-4930-8eeb-5c46594d7c00</t>
  </si>
  <si>
    <t>01f35f58-529e-4721-b279-2f9357ac5bd8</t>
  </si>
  <si>
    <t>ee0ccda1-94ef-493a-9951-bd0f64cb7684</t>
  </si>
  <si>
    <t>037d5b25-e548-4b39-a6a9-75533ed74a05</t>
  </si>
  <si>
    <t>42f01115-3ddc-4c77-acdf-90d4dc87289a</t>
  </si>
  <si>
    <t>34132b84-e932-41fc-97b4-a36a3def271a</t>
  </si>
  <si>
    <t>4b4b0785-aea8-4a77-908c-aa21748b3beb</t>
  </si>
  <si>
    <t>44881e58-9898-4103-b1d7-4d30d0f1e45d</t>
  </si>
  <si>
    <t>9eff935c-d577-491f-8ba5-4fa5bbdc141e</t>
  </si>
  <si>
    <t>0116088e-bf14-4c2e-a35e-f552e808f5f7</t>
  </si>
  <si>
    <t>d74c3987-db25-4282-bae3-06be5be68ea8</t>
  </si>
  <si>
    <t>1dfaed73-d7c8-4fa9-9152-eb42d3097fd8</t>
  </si>
  <si>
    <t>499e6439-c99b-4953-bb59-bba241e9afaf</t>
  </si>
  <si>
    <t>f847c69a-8c72-4749-bd21-bbd66d58b854</t>
  </si>
  <si>
    <t>385f392a-0946-4bea-95ce-b6d39ecb990d</t>
  </si>
  <si>
    <t>69e745cc-f2a8-4d8a-966f-893783263b62</t>
  </si>
  <si>
    <t>f9b6e85e-9353-4518-9ff3-ae3d8346d158</t>
  </si>
  <si>
    <t>61939fab-4183-4b99-99ca-7c7e4f1b55f3</t>
  </si>
  <si>
    <t>Updated Wix Payments version</t>
  </si>
  <si>
    <t>20303e79-c843-484f-98c3-c050ba12a5d4</t>
  </si>
  <si>
    <t>4cae1b3f-6b6e-4930-9dfe-d7da55ae1a06</t>
  </si>
  <si>
    <t>aa69dd58-7a5b-44a4-a0a2-a23a48c4f134</t>
  </si>
  <si>
    <t>c34e2152-c250-49cb-a7b3-5d269dbd55fe</t>
  </si>
  <si>
    <t>49152c86-e640-4598-ab9e-5e9455023e02</t>
  </si>
  <si>
    <t>85213904-7af4-4cc6-a86a-2a4109e51c25</t>
  </si>
  <si>
    <t>9c674b06-f46b-4c18-a823-1d614118d867</t>
  </si>
  <si>
    <t>€15.38</t>
  </si>
  <si>
    <t>€1.06</t>
  </si>
  <si>
    <t>477b6066-4810-4a8a-94d1-7b0060767122</t>
  </si>
  <si>
    <t>172092b6-ee4b-40ed-a4b5-6d0a7b276e80</t>
  </si>
  <si>
    <t>ff3c9d5d-60d7-4a08-a832-9bea48cd692f</t>
  </si>
  <si>
    <t>9fc53b10-5906-46c1-adf6-f9f158201930</t>
  </si>
  <si>
    <t>bc48a6fd-3329-479a-8ccf-8a4c72cc6517</t>
  </si>
  <si>
    <t>5b786e79-19dd-43d0-962e-dc8dc5e38fc5</t>
  </si>
  <si>
    <t>1f8b1bc2-e87d-40e4-96ab-baae9591e2e4</t>
  </si>
  <si>
    <t>€0.97</t>
  </si>
  <si>
    <t>d5241d06-40a2-432c-a57a-f586e7bb03e1</t>
  </si>
  <si>
    <t>b3fddbf6-5705-49f1-8004-a82212af7aee</t>
  </si>
  <si>
    <t>8c17ed6b-8630-4369-add7-d356140fc813</t>
  </si>
  <si>
    <t>d9dc8fe1-1b08-446a-ab99-89f1a4a94406</t>
  </si>
  <si>
    <t>da5140a1-ec54-4484-adaf-bc2114301b05</t>
  </si>
  <si>
    <t>f9fa680c-4d41-4296-81c2-1a47395985e4</t>
  </si>
  <si>
    <t>25c411f8-69a9-43c1-9d4c-2dea8d5e918b</t>
  </si>
  <si>
    <t>577021a3-a9ee-4958-9a3a-226889ebe925</t>
  </si>
  <si>
    <t>f08d5379-850f-4314-abd3-01b6d5b775cd</t>
  </si>
  <si>
    <t>50303126-03be-4eff-9a9b-62ff379a715c</t>
  </si>
  <si>
    <t>68da55c2-16a4-42cd-912b-c8c62b2683ec</t>
  </si>
  <si>
    <t>aea1a598-1232-4bb9-8895-7306076841aa</t>
  </si>
  <si>
    <t>26b0a888-848c-4e69-8eda-09459e20dbfe</t>
  </si>
  <si>
    <t>9486a9e9-3130-4156-b768-10656e6d27ca</t>
  </si>
  <si>
    <t>1066d9e9-ada1-4528-9239-e1066dfe7ef5</t>
  </si>
  <si>
    <t>c3ac223d-129d-4ae6-8b56-83cd8c1271c1</t>
  </si>
  <si>
    <t>08084688-1750-4d13-8347-4ad93a5e9ffe</t>
  </si>
  <si>
    <t>dd18574b-be37-4a73-a99c-6627009902eb</t>
  </si>
  <si>
    <t>0d945c71-f71e-44c9-b183-00dc304ddbf1</t>
  </si>
  <si>
    <t>128c7c57-1aa3-4610-884f-f90f58ca164c</t>
  </si>
  <si>
    <t>c13e6488-cda2-4128-878d-4f5ecb3f585e</t>
  </si>
  <si>
    <t>€25.63</t>
  </si>
  <si>
    <t>€1.56</t>
  </si>
  <si>
    <t>€24.07</t>
  </si>
  <si>
    <t>892a7dc6-3a49-45dd-84e1-3d9ad0d81a26</t>
  </si>
  <si>
    <t>91e823a8-e29b-4dfc-b20f-90f2663af586</t>
  </si>
  <si>
    <t>41bd0132-c63b-443e-a3bc-a81f8dedd2b0</t>
  </si>
  <si>
    <t>8e033495-9aba-4520-9038-e8be95f15448</t>
  </si>
  <si>
    <t>c37218b7-41d6-42a0-b066-3389a1f58554</t>
  </si>
  <si>
    <t>3c008cbb-e839-4471-a61d-fd474673b2d6</t>
  </si>
  <si>
    <t>9f7be21b-5cc4-4389-809f-32a283f51e0b</t>
  </si>
  <si>
    <t>f484c17b-f411-40fa-a785-5fe75b607393</t>
  </si>
  <si>
    <t>037c58cc-4184-44a5-83a1-e14c0a4340d9</t>
  </si>
  <si>
    <t>0c31290e-d23c-4b04-8bfe-a5063ab8c32b</t>
  </si>
  <si>
    <t>ca3452f0-19c7-4866-abfb-cdaf6cfc9304</t>
  </si>
  <si>
    <t>fd1131ca-aff5-4068-b96f-b24e999b149c</t>
  </si>
  <si>
    <t>7c25fb95-e4eb-4f1a-a424-f5e79d72c5b7</t>
  </si>
  <si>
    <t>57310f44-8450-4559-98a4-abbf6faeb16d</t>
  </si>
  <si>
    <t>150436c6-ad6d-4826-9213-39e1bedb46d4</t>
  </si>
  <si>
    <t>219c3101-afed-4b6d-8519-2be28d2783f8</t>
  </si>
  <si>
    <t>e8199210-0a61-490d-a2ed-c703a92dd2a1</t>
  </si>
  <si>
    <t>ea9144d9-2fd2-4c27-bea3-cd30be804ea4</t>
  </si>
  <si>
    <t>e0e53288-e9d2-4ce4-a4ac-59f139e7ff14</t>
  </si>
  <si>
    <t>ac332985-c580-4012-a999-03f238957956</t>
  </si>
  <si>
    <t>51304ac3-a0d1-4f2f-8850-0a7a4f4eccaf</t>
  </si>
  <si>
    <t>ff0751b6-aa45-4631-afef-0a5a0d1a2522</t>
  </si>
  <si>
    <t>fa2b3d25-627e-4a18-84fc-443b02cd0a63</t>
  </si>
  <si>
    <t>f85bcbdf-c50f-4053-8533-0b1f9e809df0</t>
  </si>
  <si>
    <t>dc673a5b-8caf-408e-a959-6014beb4b8d5</t>
  </si>
  <si>
    <t>36c3263a-ef78-4bd2-b8ac-85d7486b9dc4</t>
  </si>
  <si>
    <t>€24.22</t>
  </si>
  <si>
    <t>10a1219d-8d4b-41ed-9113-992c0dcb1326</t>
  </si>
  <si>
    <t>e636d1ea-fe45-401c-8c86-7c486a257914</t>
  </si>
  <si>
    <t>740a4a61-b25a-4c7d-b8cb-b68a806406bb</t>
  </si>
  <si>
    <t>9dbb7aff-2580-4245-b573-6dcab00df522</t>
  </si>
  <si>
    <t>44f3d04e-3274-4f7b-b3bd-a859f936426b</t>
  </si>
  <si>
    <t>62536584-7b28-44c5-b093-c2948c22bcf9</t>
  </si>
  <si>
    <t>522b4334-ceb6-4e66-8445-ece709a4a6fb</t>
  </si>
  <si>
    <t>f6d8bba1-dd45-4815-9da4-981613c8b25e</t>
  </si>
  <si>
    <t>a0f8deaf-5351-4927-b9e2-fb12f6d2d72c</t>
  </si>
  <si>
    <t>f25196b0-37d4-4d66-8ed9-a5811dbe0e76</t>
  </si>
  <si>
    <t>0af18a2b-fb97-4f65-af48-6face70bf9a3</t>
  </si>
  <si>
    <t>d0beed11-2016-4bd4-a434-f06cdfc521d1</t>
  </si>
  <si>
    <t>3531d5b2-dc2e-4ffc-8adb-fddeaedf0434</t>
  </si>
  <si>
    <t>5bbff8a3-4445-4e18-a3ce-b3dc9753ba18</t>
  </si>
  <si>
    <t>51088c40-48f5-421c-a186-95dc09dbbd9d</t>
  </si>
  <si>
    <t>04fa30c5-1a10-43bb-a321-cf271f5d95bc</t>
  </si>
  <si>
    <t>Isobel Maria Ham</t>
  </si>
  <si>
    <t>€35.88</t>
  </si>
  <si>
    <t>€1.85</t>
  </si>
  <si>
    <t>€34.03</t>
  </si>
  <si>
    <t>491937ce-6de4-453f-88ac-8b20c65c0cbe</t>
  </si>
  <si>
    <t>297d3ab2-ac8e-4030-99ed-b13e1e975ece</t>
  </si>
  <si>
    <t>c14945f3-8a28-41ff-a340-9f77931a7fd8</t>
  </si>
  <si>
    <t>882f3fee-94ec-4606-9fab-0d82fb0f26b7</t>
  </si>
  <si>
    <t>0c4c4510-b283-4083-b92b-89a1e25aa4c9</t>
  </si>
  <si>
    <t>23433920-c5d1-4c03-bbc2-055e88f1ab3a</t>
  </si>
  <si>
    <t>Karla Behrendt </t>
  </si>
  <si>
    <t>0779da4b-87e0-4621-8d16-b7568ca46acb</t>
  </si>
  <si>
    <t>5fbe4ead-50d3-47ad-aa0d-d9348cf43bde</t>
  </si>
  <si>
    <t>825d5750-20fa-447b-9a37-85b75d91a8ff</t>
  </si>
  <si>
    <t>18578245-2678-492e-b391-362fd4638d36</t>
  </si>
  <si>
    <t>6145d872-5188-42c0-be68-b4706bef8350</t>
  </si>
  <si>
    <t>856199d2-9d33-4d3e-90f5-3f8c2b1456bf</t>
  </si>
  <si>
    <t>1b12e36c-907a-42a1-9258-b49880114d7e</t>
  </si>
  <si>
    <t>1ed809e5-eea0-4215-86a2-85fc92a40d86</t>
  </si>
  <si>
    <t>c372799f-aa1c-4682-b0fd-1f4278af8d15</t>
  </si>
  <si>
    <t>9a9717d2-1dcb-4439-855d-3c8cf552c5ec</t>
  </si>
  <si>
    <t>d61e5805-9bd0-45a2-a704-0ec2b2a57e57</t>
  </si>
  <si>
    <t>6cf60069-612d-476a-82ff-953f43bc2d8a</t>
  </si>
  <si>
    <t>1a83878e-e36d-4b7a-906f-f29a3087450d</t>
  </si>
  <si>
    <t>bf8e0b81-dda8-4edb-9783-1884a7f4e2f1</t>
  </si>
  <si>
    <t>e74b12a7-9bc5-49da-b8e3-79d5787dfc13</t>
  </si>
  <si>
    <t>015df2a8-a601-412a-8715-4b4e255559a8</t>
  </si>
  <si>
    <t>8bfda960-68cb-4016-b8b8-bfd97923e6c3</t>
  </si>
  <si>
    <t>fcc4e0d9-a00e-4ec5-b601-94cf96814fe7</t>
  </si>
  <si>
    <t>1db4bfb9-6b79-4310-9bb0-4978c1cd540a</t>
  </si>
  <si>
    <t>12c22ab0-f9b4-4eb6-b49c-6113db2b0508</t>
  </si>
  <si>
    <t>26a47eb5-5da0-46e6-8d30-16ab9547b4d4</t>
  </si>
  <si>
    <t>bef5c857-547a-4f06-bb02-8e94be0e8037</t>
  </si>
  <si>
    <t>74c37863-96b4-4856-883e-a7bca6d81d24</t>
  </si>
  <si>
    <t>649d3f1d-ca34-4f29-adfe-5d0626f37b60</t>
  </si>
  <si>
    <t>cefe63bc-04eb-42aa-8c46-aa98fc86c7a3</t>
  </si>
  <si>
    <t>b5490375-e515-4dc7-bab8-7849c110b6be</t>
  </si>
  <si>
    <t>d8400bda-4c0d-4932-a22a-1d2ca3d551bc</t>
  </si>
  <si>
    <t>32e439b1-76ef-48ff-a8c2-212846f6e115</t>
  </si>
  <si>
    <t>adca1a67-6553-4303-a2c2-607e3395a7b7</t>
  </si>
  <si>
    <t>5f7161eb-1e21-475c-b862-633292d7f3bf</t>
  </si>
  <si>
    <t>957271e1-7793-4263-8798-7f1f8e44c62d</t>
  </si>
  <si>
    <t>642ba08c-8739-44f1-b9a1-bb722d16cfca</t>
  </si>
  <si>
    <t>b92d4af5-0c7c-4191-9ffe-944139ff512a</t>
  </si>
  <si>
    <t>2905217c-c1eb-4206-a908-8e2f59eb6969</t>
  </si>
  <si>
    <t>d7a871f4-ad46-4f7d-9c2a-edc5d85b89fd</t>
  </si>
  <si>
    <t>20a03e35-e296-4664-b787-f2a4c1a27198</t>
  </si>
  <si>
    <t>bc4fd627-5132-434f-b402-cab3b4ac3b84</t>
  </si>
  <si>
    <t>af02a27b-8676-4212-afaa-a95d84c46060</t>
  </si>
  <si>
    <t>6b10b174-7011-4b5d-bc79-46746dc05922</t>
  </si>
  <si>
    <t>54d728f1-c60e-4b7e-b220-52098b20de6e</t>
  </si>
  <si>
    <t>c5c0e561-5ec5-4c48-9267-ea3c8d733af4</t>
  </si>
  <si>
    <t>76b8919c-6403-462e-b952-7c8d6f71a5d0</t>
  </si>
  <si>
    <t>dba20bf0-58ad-4ef1-b1d3-d97476a042ca</t>
  </si>
  <si>
    <t>8aac352c-8aa6-4806-9266-625526c37a57</t>
  </si>
  <si>
    <t>686e8513-8fe6-4504-9ff4-06658804ba04</t>
  </si>
  <si>
    <t>b0c95802-c2f1-4204-b415-de0c82fba928</t>
  </si>
  <si>
    <t>1bab9cbd-d069-4dee-ad90-707419b7d880</t>
  </si>
  <si>
    <t>f162f12a-5b04-405c-a8d8-ba766b65d6bd</t>
  </si>
  <si>
    <t>d5691c2a-2168-407e-bec9-4cd988724b50</t>
  </si>
  <si>
    <t>8b355fe6-02bd-46ae-9a56-d23db083f15a</t>
  </si>
  <si>
    <t>2c5b1733-cab7-4ae3-a3bc-6dced3374b3d</t>
  </si>
  <si>
    <t>e8a11fc3-5cf3-472c-8871-558917fffc59</t>
  </si>
  <si>
    <t>a3e3db75-352b-40b6-80ec-86b864355cca</t>
  </si>
  <si>
    <t>a7dd2fbb-1d5b-4d4f-9605-58fe89b07818</t>
  </si>
  <si>
    <t>84c26db8-12d0-44b5-bee3-e0387aab85c7</t>
  </si>
  <si>
    <t>4a433e38-2296-4f21-ac59-f954bb16a523</t>
  </si>
  <si>
    <t>1ce0fed6-d4ee-4cc5-ac17-b271feb09676</t>
  </si>
  <si>
    <t>d9b1bb5b-2547-40e0-8687-f7b130ef6f56</t>
  </si>
  <si>
    <t>47dcee01-2fdc-4141-b15b-46c409ed2eef</t>
  </si>
  <si>
    <t>40bbc672-5ee1-44dc-b087-87e1933141bb</t>
  </si>
  <si>
    <t>9b33a2c0-8f8e-4c49-be5f-95de74fb3436</t>
  </si>
  <si>
    <t>53ea414c-8792-4283-acd9-d8ce45e08d90</t>
  </si>
  <si>
    <t>2896f7ec-9f6c-4419-a508-70befb51ea1d</t>
  </si>
  <si>
    <t>2171f86d-d7c6-41c7-b8c0-37907830a667</t>
  </si>
  <si>
    <t>39b8e1b3-2160-4285-bead-39a7933d8ade</t>
  </si>
  <si>
    <t>c5f468f5-d641-49f1-8c8e-d0697d35cd7b</t>
  </si>
  <si>
    <t>5bd95cd6-7b51-44d7-ac1a-250666d08e6b</t>
  </si>
  <si>
    <t>b2e04c49-8ea3-40e0-b951-a16bf657c9a0</t>
  </si>
  <si>
    <t>e78a7b06-6229-4481-b664-0b873e08b651</t>
  </si>
  <si>
    <t>c5cb33bc-913f-493f-8a7a-8948834704e1</t>
  </si>
  <si>
    <t>713cff18-db7f-4893-bca2-5d7f6eb24bce</t>
  </si>
  <si>
    <t>0bbff324-477d-4e12-bbbf-6641b3ccf6c2</t>
  </si>
  <si>
    <t>cbfbb9b8-bbb7-4787-b749-bdde332f72da</t>
  </si>
  <si>
    <t>40ead383-e79c-4916-8642-c05a62307076</t>
  </si>
  <si>
    <t>74fa4083-d5b9-491c-9f9f-b990180e0bb0</t>
  </si>
  <si>
    <t>c4288edf-9584-4e6f-b901-753a96120c9d</t>
  </si>
  <si>
    <t>0dc10044-6ac1-4080-998d-9ef67fa8f4b2</t>
  </si>
  <si>
    <t>b8ee30d0-6e38-442d-9ad2-3c7fb6ced1de</t>
  </si>
  <si>
    <t>5a24db85-e629-4299-86aa-f3871d8de3ed</t>
  </si>
  <si>
    <t>627727bb-4fa5-4c29-8a6b-068367174d20</t>
  </si>
  <si>
    <t>02219dbf-b048-471c-81a8-1e1a11db5c58</t>
  </si>
  <si>
    <t>32ebbf9d-2229-4a1c-8b48-e1322c9a939e</t>
  </si>
  <si>
    <t>5d1c9d5e-425e-43df-935c-829072b8d20d</t>
  </si>
  <si>
    <t>3659db37-e5c4-48a3-8d19-40c33a998528</t>
  </si>
  <si>
    <t>acb09451-c0da-40f4-a04e-5f1ad133f067</t>
  </si>
  <si>
    <t>S Ballafkir </t>
  </si>
  <si>
    <t>cece6a4a-cf44-47f2-900a-502437812269</t>
  </si>
  <si>
    <t>603962e0-84c2-4a12-ac67-43c10b9e3e17</t>
  </si>
  <si>
    <t>Theodor Weiss</t>
  </si>
  <si>
    <t>9e092366-11ee-49c7-bf7d-00a1f29a4bde</t>
  </si>
  <si>
    <t>8c252aed-1db2-4638-bb5a-edcc636edf67</t>
  </si>
  <si>
    <t>528ee6a1-966b-4e2e-9c7a-f8a8d357dfab</t>
  </si>
  <si>
    <t>85be8638-c9f9-43c1-9f94-2edfc266a44f</t>
  </si>
  <si>
    <t>b1fc83b8-c044-4265-a935-98f38939e70e</t>
  </si>
  <si>
    <t>0554dc20-2411-492a-87db-862e94759133</t>
  </si>
  <si>
    <t>95bad1cd-107d-4d20-b98b-4ff639b14b43</t>
  </si>
  <si>
    <t>ff760e64-f97c-4373-bc63-4acb5127b3df</t>
  </si>
  <si>
    <t>0ddefad9-98cd-4f53-bccc-c5820570fdb6</t>
  </si>
  <si>
    <t>0046cda1-0a7e-4e08-ab66-63e5abb069a5</t>
  </si>
  <si>
    <t>Xenia Mowes</t>
  </si>
  <si>
    <t>d23863bb-6ff2-48e6-b0a1-6a8f41a3972a</t>
  </si>
  <si>
    <t>f37eb35f-c916-480e-b3a0-5e9325faddee</t>
  </si>
  <si>
    <t>92faf04d-d073-463a-8d4e-809d20b33d07</t>
  </si>
  <si>
    <t>192de78b-334b-44ff-a262-98477ceea624</t>
  </si>
  <si>
    <t>77498557-521c-4189-a668-96911b34c8fb</t>
  </si>
  <si>
    <t>0534f11a-cf3c-4fbc-bf80-42c7cb2c5ce2</t>
  </si>
  <si>
    <t>bdc1164e-6977-4fb9-a39a-dc37958e8bff</t>
  </si>
  <si>
    <t>d16c5d07-d5df-4e58-be2d-93ffc7a79e0d</t>
  </si>
  <si>
    <t>ac0fc14a-2f82-4b7a-946c-6eebb3d79107</t>
  </si>
  <si>
    <t>f43f1e3e-b735-4b45-8c2b-fe57da038e32</t>
  </si>
  <si>
    <t>f86c21b2-3711-4221-af75-768c522e7dad</t>
  </si>
  <si>
    <t>58844b46-ae4a-4263-8e0e-b87e9233809c</t>
  </si>
  <si>
    <t>60baa861-d7ae-4700-bbab-94dd53a1a773</t>
  </si>
  <si>
    <t>1cdccc5d-2001-4d3d-8de9-43ce9fbd02ca</t>
  </si>
  <si>
    <t>98f84959-f971-4b04-83c8-30b80ad1e053</t>
  </si>
  <si>
    <t>e15f3059-0e0f-48dc-ad68-c283a7cd395c</t>
  </si>
  <si>
    <t>c72ea123-750f-489b-8123-9be1a53dff3e</t>
  </si>
  <si>
    <t>76960792-b97c-4534-b097-aed43c06dadb</t>
  </si>
  <si>
    <t>04f85363-37d9-4077-a90d-863d02159ac4</t>
  </si>
  <si>
    <t>87e6602c-5573-47e3-8cc2-b605c9ab3f67</t>
  </si>
  <si>
    <t>2656ce3b-9161-4ee8-9b0a-2e5dc63b346a</t>
  </si>
  <si>
    <t>edd719fc-7dfd-4c82-b5ba-cbc2ac1a9331</t>
  </si>
  <si>
    <t>ff1b1e12-c8fb-4475-81cc-f11ca22a9c36</t>
  </si>
  <si>
    <t>244b9129-7eae-490d-8e4b-1c95b71cab68</t>
  </si>
  <si>
    <t>bb03df93-efa8-434c-ad75-e6d61fb77004</t>
  </si>
  <si>
    <t>51daaa73-270d-4c4a-ab23-428e40128652</t>
  </si>
  <si>
    <t>5d096dbb-9503-485b-92c1-5fc25eba898a</t>
  </si>
  <si>
    <t>ebba58ff-63b1-4081-ae45-4ceb06c207b6</t>
  </si>
  <si>
    <t>7328d01c-7fdc-42fd-99a6-668cdc758645</t>
  </si>
  <si>
    <t>924d2427-799c-4609-952e-9ce63cd9892b</t>
  </si>
  <si>
    <t>66bc6bd3-577d-47d8-8096-faf3936a7204</t>
  </si>
  <si>
    <t>8943a273-65f9-42e2-9549-edb2e90cc8cb</t>
  </si>
  <si>
    <t>119d20fe-4c21-4add-9b05-573f93f3f314</t>
  </si>
  <si>
    <t>6284480c-0683-46db-8976-0eeb39586f66</t>
  </si>
  <si>
    <t>7db0d3d5-9c1c-470c-bb4b-0e513a4c6517</t>
  </si>
  <si>
    <t>25778074-a5de-4dc9-9ede-9cf185774452</t>
  </si>
  <si>
    <t>859c0071-249d-46ed-8d84-2b3ddb092c3a</t>
  </si>
  <si>
    <t>Sergii Chaika</t>
  </si>
  <si>
    <t>a2d6764b-47e9-4955-831b-66ce99d1ec11</t>
  </si>
  <si>
    <t>7ccf8b36-2d8d-4559-b05b-36f6bdfc9df8</t>
  </si>
  <si>
    <t>€7.69</t>
  </si>
  <si>
    <t>€0.63</t>
  </si>
  <si>
    <t>€7.06</t>
  </si>
  <si>
    <t>3e97f586-d322-4e49-88f6-b879a2752225</t>
  </si>
  <si>
    <t>e6746004-856e-4d2b-a643-98be2d3ce54a</t>
  </si>
  <si>
    <t>ba150ea2-64b2-4340-9c78-7673e68db988</t>
  </si>
  <si>
    <t>16177e93-f133-42c2-934b-7ef00a860932</t>
  </si>
  <si>
    <t>05b72191-d00e-4173-b7ae-3838698de472</t>
  </si>
  <si>
    <t>7086cb1a-fc32-405d-be02-08356586ba0b</t>
  </si>
  <si>
    <t>3bc7e870-b9c5-49f2-90f6-bb6afa7ece9c</t>
  </si>
  <si>
    <t>87d15044-a2eb-4efd-ba9d-e508c26d6cc9</t>
  </si>
  <si>
    <t>3da3ef84-63f4-497d-8a4a-db4c66bae93a</t>
  </si>
  <si>
    <t>f026e2ca-99a0-4cfe-a3bd-7c3bbc591b12</t>
  </si>
  <si>
    <t>f361f8ef-8a35-4205-9cf2-7f77b5ae433f</t>
  </si>
  <si>
    <t>9283c810-d424-46a8-9a30-4334e26088c6</t>
  </si>
  <si>
    <t>587e6d76-bbe3-4a03-9301-cc3f5b31708c</t>
  </si>
  <si>
    <t>e704266c-7d2d-4812-ae2c-3dd8d93510b3</t>
  </si>
  <si>
    <t>Aksel Hovland</t>
  </si>
  <si>
    <t>08e54f66-2ef2-4a96-9788-9b740b90c144</t>
  </si>
  <si>
    <t>ce6b1a38-e68d-40ed-92b5-1c6177765ccb</t>
  </si>
  <si>
    <t>8cf63737-2531-49bc-8623-5c54cf473f51</t>
  </si>
  <si>
    <t>fa6db7d6-0378-482b-9577-0593da4ea7d6</t>
  </si>
  <si>
    <t>c18157a4-2505-4221-8fe1-b0c48e6beb66</t>
  </si>
  <si>
    <t>cda5c2f5-72f6-47ac-81b6-3e8ee8fe280a</t>
  </si>
  <si>
    <t>5ba4e553-e247-4353-b7bb-768956391f2c</t>
  </si>
  <si>
    <t>92430ea5-e030-43c4-988c-340ec3d119ce</t>
  </si>
  <si>
    <t>34ce7948-9db9-43a2-872a-6af0f183dfd5</t>
  </si>
  <si>
    <t>4c008379-7e27-42e8-b629-f9177c3a8baa</t>
  </si>
  <si>
    <t>cf5b45a1-17a6-447c-8774-ec59bf9677cd</t>
  </si>
  <si>
    <t>25b42fce-3a74-4dcf-9966-e5ef508ca6ad</t>
  </si>
  <si>
    <t>5bd0d5a0-b2ca-48d3-9923-b03b3df16332</t>
  </si>
  <si>
    <t>822c7ba2-a1d7-4a89-993c-094549b8ef20</t>
  </si>
  <si>
    <t>80142702-c44b-4d39-8fff-77b0869eb3fb</t>
  </si>
  <si>
    <t>3541b1bc-5f96-4c0c-a087-5cbc78150701</t>
  </si>
  <si>
    <t>1215429d-73f2-498c-99b2-1483c4f804c2</t>
  </si>
  <si>
    <t>Laith Chomakh</t>
  </si>
  <si>
    <t>7008fd20-d7ca-4b12-9047-695b9fbb5ea8</t>
  </si>
  <si>
    <t>47e4b9a3-3648-494e-91b3-52d8f1430ccc</t>
  </si>
  <si>
    <t>c1992371-e457-4b1c-95a4-0d337b3a25dd</t>
  </si>
  <si>
    <t>1261eb87-a63c-4222-8385-c045f7200f21</t>
  </si>
  <si>
    <t>3b4e5cb1-4433-43f1-922d-d3f1cbd017ed</t>
  </si>
  <si>
    <t>b4ebf0c1-5f8b-4d53-bf58-759e47575186</t>
  </si>
  <si>
    <t>077b81c4-fd6b-4d7e-834d-b5767ff3548e</t>
  </si>
  <si>
    <t>e9a36903-e1de-4cd8-89c8-5ee6d1a070cf</t>
  </si>
  <si>
    <t>b4538bdd-2d06-4107-b426-76197493adef</t>
  </si>
  <si>
    <t>d5962f45-6263-459b-814a-f987d309501f</t>
  </si>
  <si>
    <t>a089aa8e-c448-4d42-a7b4-44cd41c4cee7</t>
  </si>
  <si>
    <t>61f5cd88-e3a4-43a4-8795-67f1efdce4dd</t>
  </si>
  <si>
    <t>4426a507-df68-4d6e-a304-5835bab4c5ea</t>
  </si>
  <si>
    <t>237e3719-2e2d-49d9-b6db-beacaf3e0e12</t>
  </si>
  <si>
    <t>0356c0a8-12d1-455d-b7bc-951560a2e79c</t>
  </si>
  <si>
    <t>20c9ba13-1924-49de-b747-b060cecebc83</t>
  </si>
  <si>
    <t>9e036e8e-a1c6-4762-9e2e-ef4ffe3ed2a9</t>
  </si>
  <si>
    <t>2989d3c4-0e0b-4898-9c2e-597836450b1e</t>
  </si>
  <si>
    <t>€0.68</t>
  </si>
  <si>
    <t>€7.01</t>
  </si>
  <si>
    <t>0c7f4f5d-2768-4018-a27f-b65146029209</t>
  </si>
  <si>
    <t>32a98a0e-2664-42b4-9c0c-f8bc13ff0fd2</t>
  </si>
  <si>
    <t>102736d1-bc94-430e-a4e8-1cab14d0c855</t>
  </si>
  <si>
    <t>b0555aad-6a9a-4207-9022-467d20444507</t>
  </si>
  <si>
    <t>acbd874b-26d3-428c-8547-cdca06f1ed5d</t>
  </si>
  <si>
    <t>5962c629-9747-486b-b4b1-8b59cf6a4657</t>
  </si>
  <si>
    <t>8f12023c-2b21-4f0d-9cab-3b27c0f34a8b</t>
  </si>
  <si>
    <t>9a253723-9534-4068-9092-7aec057c6708</t>
  </si>
  <si>
    <t>7d5946d9-ba33-4d5f-a55b-857f14ef606d</t>
  </si>
  <si>
    <t>c1fdf1c1-494c-48d5-b078-eb41dcb0992f</t>
  </si>
  <si>
    <t>326bf285-57a5-48ee-b080-4e5bfe87d49b</t>
  </si>
  <si>
    <t>€38.45</t>
  </si>
  <si>
    <t>€1.96</t>
  </si>
  <si>
    <t>€36.49</t>
  </si>
  <si>
    <t>02c5a67a-d1d5-4ac6-9478-05686de3dd99</t>
  </si>
  <si>
    <t>d0763daf-65f5-4fe9-8b0f-6c2c80f79b94</t>
  </si>
  <si>
    <t>6388037f-4021-4d39-a848-ad4e239f47ed</t>
  </si>
  <si>
    <t>282c38bb-617e-4643-a5df-7e27fb468a41</t>
  </si>
  <si>
    <t>fb43cc29-5522-4be3-85ca-1787e0e6aec1</t>
  </si>
  <si>
    <t>ffea3f9d-6688-4064-ad00-1fdc7d82ac78</t>
  </si>
  <si>
    <t>b619eb6b-f733-444d-bc50-683f1ca67c8d</t>
  </si>
  <si>
    <t>bba95bea-e571-4f7d-9218-277b7441e583</t>
  </si>
  <si>
    <t>ddfcb533-d587-48d9-ba4b-1e3b51e4f27b</t>
  </si>
  <si>
    <t>3914ecf7-477b-4616-ac34-dcc216a6ca7d</t>
  </si>
  <si>
    <t>e171e47c-b10c-43d8-bfc5-462cede4c4fd</t>
  </si>
  <si>
    <t>41d9a7e6-5f72-4507-8c1a-4dd3b9c6f19c</t>
  </si>
  <si>
    <t>c87f4959-1c94-41a9-ae8d-91149f388850</t>
  </si>
  <si>
    <t>ddf7925a-5622-44c7-80eb-79c779f4dea3</t>
  </si>
  <si>
    <t>f89f0510-0c3a-42c5-900a-90096d4ed460</t>
  </si>
  <si>
    <t>80816f53-b3d7-4f2b-a7f5-aa37d5ba823d</t>
  </si>
  <si>
    <t>e4f43797-7b5a-408d-be0a-c2bfa1b75048</t>
  </si>
  <si>
    <t>d79036f1-0aae-48a2-ac24-c4197a34ecb8</t>
  </si>
  <si>
    <t>a333745a-d183-4c61-be31-cdb891cc1425</t>
  </si>
  <si>
    <t>89b4a6ae-5e60-4498-8fcd-2858aff8060b</t>
  </si>
  <si>
    <t>730ffe99-2ad6-4174-a998-12c866d6e91c</t>
  </si>
  <si>
    <t>3421d073-d7c0-49bf-9291-833910f0a591</t>
  </si>
  <si>
    <t>6fbf4aec-fbf8-4676-bafa-acc2abb8a363</t>
  </si>
  <si>
    <t>b5d7c551-7330-4482-b970-a21c0a95946e</t>
  </si>
  <si>
    <t>81044210-0f5d-443c-9a3a-9d283bf389c8</t>
  </si>
  <si>
    <t>9a566c36-0505-4be9-861b-2fb9a0b36b65</t>
  </si>
  <si>
    <t>53ee772b-1ea8-4be2-b682-03d9e7324da9</t>
  </si>
  <si>
    <t>f5d1ad94-22c3-48d3-9646-8a1aa30dcc82</t>
  </si>
  <si>
    <t>f719a8da-a6b0-469b-a887-1f1a34f9084a</t>
  </si>
  <si>
    <t>f2c0e1b9-3761-451e-9f5c-9617c8c2111a</t>
  </si>
  <si>
    <t>d2d41e65-f80e-475b-85b1-928b7ea80d95</t>
  </si>
  <si>
    <t>f9cb8ed5-c258-4a1b-a1a4-e771bda16dc6</t>
  </si>
  <si>
    <t>f078af5a-e12d-4faf-8806-c4215e4354af</t>
  </si>
  <si>
    <t>f9514165-b676-4896-8103-186062f36c7f</t>
  </si>
  <si>
    <t>32088694-ccac-4be2-8bcd-d61decfb0947</t>
  </si>
  <si>
    <t>475c2baf-944f-43ef-a0ab-c36fb95ee71c</t>
  </si>
  <si>
    <t>30a47e7b-65d7-4a0e-8266-c4bd22d2b780</t>
  </si>
  <si>
    <t>267c5d9c-ec5b-4ffb-b735-7a9e5d683a4f</t>
  </si>
  <si>
    <t>38791ae9-53ac-44e0-b204-7590f19c9fda</t>
  </si>
  <si>
    <t>bbe90e37-7cf8-4972-a7f8-100c2a6129b6</t>
  </si>
  <si>
    <t>f6a45cc7-ad8a-4a9a-8efb-d7007b3a68af</t>
  </si>
  <si>
    <t>ab0ed45a-956d-4d2d-af99-dcd0227cb78f</t>
  </si>
  <si>
    <t>336ca6b2-de20-4bf9-9381-1bdd8bf7fbdc</t>
  </si>
  <si>
    <t>a24be241-4779-4b01-a4ec-c0a2acc74370</t>
  </si>
  <si>
    <t>abd8357b-e393-45ad-b835-d586ccd02b54</t>
  </si>
  <si>
    <t>632ec57e-a1ed-4f6e-8de0-2fa49ada844e</t>
  </si>
  <si>
    <t>4f8b8357-3793-46b8-897b-50e1d2d71c18</t>
  </si>
  <si>
    <t>6d8af0d5-9ce9-4c19-a644-51c6a77f5c00</t>
  </si>
  <si>
    <t>8d389915-8af0-4119-a824-0b637af675ef</t>
  </si>
  <si>
    <t>12dc5799-e738-4a1e-8119-4c687fa7ccec</t>
  </si>
  <si>
    <t>d290b519-5070-43d2-8ce9-42e945fdb7da</t>
  </si>
  <si>
    <t>aab35415-d143-4b05-8764-17b50b9b7f21</t>
  </si>
  <si>
    <t>ccfb20da-fe9b-45fa-9054-895a731cbc56</t>
  </si>
  <si>
    <t>7678307a-801c-4e36-b50d-8d0769678a33</t>
  </si>
  <si>
    <t>b5e83f17-9857-4890-a597-4f817172cb44</t>
  </si>
  <si>
    <t>cf20e9a2-2340-4a27-9d13-eabc4a835388</t>
  </si>
  <si>
    <t>5cc8f1d8-017c-4cbf-9149-5c515896bd21</t>
  </si>
  <si>
    <t>4381fee6-faa1-491e-a870-e9f225cea4ae</t>
  </si>
  <si>
    <t>9b6cc56a-0b6c-4be4-b6b7-c98191a5011b</t>
  </si>
  <si>
    <t>b30b3889-0477-478b-b177-c427a378e412</t>
  </si>
  <si>
    <t>Thalia Baumbach </t>
  </si>
  <si>
    <t>0deb2968-8660-4c8b-b1c8-98f4f160b5c4</t>
  </si>
  <si>
    <t>0f5cae6e-f1a6-4c3d-b10a-f83b3eace2c3</t>
  </si>
  <si>
    <t>c8545284-954a-4ba3-b21b-13107c8d13e2</t>
  </si>
  <si>
    <t>ae2f1b16-b5e0-4bce-a95f-b86c9976d900</t>
  </si>
  <si>
    <t>606e5c3c-867b-4e03-a7ed-a92a7f485ae4</t>
  </si>
  <si>
    <t>ca49829e-c15c-4e60-a6df-a35b2927ae61</t>
  </si>
  <si>
    <t>e9ec88f7-a335-469c-a8a4-2659099fd7a5</t>
  </si>
  <si>
    <t>e7a3f553-a8c8-4190-9bee-9b2dbc0c2530</t>
  </si>
  <si>
    <t>€10.25</t>
  </si>
  <si>
    <t>€9.51</t>
  </si>
  <si>
    <t>944402c0-3e53-440d-966a-60c9ae8ba2cc</t>
  </si>
  <si>
    <t>2fd468e5-3687-4489-8cc3-e30f22f18a03</t>
  </si>
  <si>
    <t>7a722101-1661-4d16-ba86-4e3542cac802</t>
  </si>
  <si>
    <t>93123884-1961-4b5a-8302-6badcc685988</t>
  </si>
  <si>
    <t>12449292-1be8-422e-9732-5c4e4098fe24</t>
  </si>
  <si>
    <t>e9f81232-b52a-4460-b25b-7475321f6646</t>
  </si>
  <si>
    <t>052232d5-3516-492e-ad88-da3c831ec38f</t>
  </si>
  <si>
    <t>017077ce-a54e-4b0a-bf72-5d5a798a4146</t>
  </si>
  <si>
    <t>ab445e65-52db-4e33-80d1-45d8beffb183</t>
  </si>
  <si>
    <t>5eef601b-abd7-4b0a-98a5-b94cdca4aee2</t>
  </si>
  <si>
    <t>992214cb-c6d7-46ef-b2b9-7b6745954f1d</t>
  </si>
  <si>
    <t>73ea9add-7d77-4224-8081-cd66472bacb8</t>
  </si>
  <si>
    <t>161ec0d2-775e-427a-8618-bd1165405a3f</t>
  </si>
  <si>
    <t>04116aea-e727-4427-8bc3-95a5fadb26d8</t>
  </si>
  <si>
    <t>f5cc9927-2d26-47cf-8bf0-a262136e7ba1</t>
  </si>
  <si>
    <t>2056d5c0-7e94-445b-85c2-500553c01db0</t>
  </si>
  <si>
    <t>bad01342-f202-4037-b963-655660221eaf</t>
  </si>
  <si>
    <t>5ce25dfc-9a4b-4291-a3bc-e90a0b82dc33</t>
  </si>
  <si>
    <t>81486ef9-322e-4df1-8e36-3707709f294f</t>
  </si>
  <si>
    <t>9113283b-f7ec-4dde-92bf-a90707581dc9</t>
  </si>
  <si>
    <t>5ae99983-4b10-4d31-8b6b-411618396e78</t>
  </si>
  <si>
    <t>c648b783-a661-4aa3-9726-42ef6438f9bc</t>
  </si>
  <si>
    <t>0bd2f852-e29e-452a-883e-bdaee7fc66fe</t>
  </si>
  <si>
    <t>fc35ad02-e62d-451d-883e-feed18cfb7da</t>
  </si>
  <si>
    <t>f9d00484-fbab-4233-9357-eaf32cb4390c</t>
  </si>
  <si>
    <t>4c5033ed-4493-4a7a-b4f1-75b3eaa1b3cf</t>
  </si>
  <si>
    <t>2de7100a-4cb4-4eb1-9854-047a95e493ab</t>
  </si>
  <si>
    <t>0d0134e2-2673-4a07-94ed-7d82f8889727</t>
  </si>
  <si>
    <t>d609a8c1-0f9a-44d4-9d52-3c5d9626cdc8</t>
  </si>
  <si>
    <t>53af71a7-e935-4e6b-9351-d3e153c59eca</t>
  </si>
  <si>
    <t>d6f2035a-62e6-4564-81d4-415d88b16b12</t>
  </si>
  <si>
    <t>f5c8dada-a77b-411a-8007-fa60acc22d25</t>
  </si>
  <si>
    <t>c999dd1a-b238-4382-a3eb-8acda9d96917</t>
  </si>
  <si>
    <t>84d28847-3756-4af1-90b2-54c1630af9ea</t>
  </si>
  <si>
    <t>193e0a6c-a29a-4e13-8ad4-f3686259b65f</t>
  </si>
  <si>
    <t>39c0927e-b923-484d-af55-2639e0c75b46</t>
  </si>
  <si>
    <t>5d568e3b-781f-46e2-899a-db61f4f08337</t>
  </si>
  <si>
    <t>eb9c2b4a-f943-4b62-827e-40a52001ff20</t>
  </si>
  <si>
    <t>673a63d8-483d-4597-b2dd-43555a5349bb</t>
  </si>
  <si>
    <t>26d04bc7-c954-496c-bcfb-93ac3fc5ed63</t>
  </si>
  <si>
    <t>03777a03-dd44-4311-91b4-7271aa3bc2a7</t>
  </si>
  <si>
    <t>bd772460-1f73-4396-99fe-e002f2ee4daf</t>
  </si>
  <si>
    <t>ade5f6af-6e0c-4c93-9979-c93f66144e92</t>
  </si>
  <si>
    <t>01936eab-c5dc-44c9-98f9-a742872f1021</t>
  </si>
  <si>
    <t>c0f45549-eaba-4e95-878c-d9e730e8aaf9</t>
  </si>
  <si>
    <t>56ccd877-f0ba-4d46-ae11-ea36ee7024bb</t>
  </si>
  <si>
    <t>320b7f19-8eb1-4426-beb7-b4ddfcad0515</t>
  </si>
  <si>
    <t>d0b1407d-3fae-474f-b2e9-cb087d52a331</t>
  </si>
  <si>
    <t>4f5d233c-80e1-4cf0-8e42-5cbc095cd240</t>
  </si>
  <si>
    <t>2bd9f645-b210-446c-8b9c-24569b1cb900</t>
  </si>
  <si>
    <t>bddc4be5-b06f-4b72-b993-16608cc00eec</t>
  </si>
  <si>
    <t>704b1d0a-c1d1-4f68-bf34-2713edf767c7</t>
  </si>
  <si>
    <t>bb317165-ee83-4ee6-8894-6a2e4035634f</t>
  </si>
  <si>
    <t>99781470-08fb-4782-861a-883d88e31c8c</t>
  </si>
  <si>
    <t>269dca53-dfb4-4d8e-9c0d-08a35dd1599e</t>
  </si>
  <si>
    <t>8efbfb95-819b-45a8-8036-985437ec33a1</t>
  </si>
  <si>
    <t>77085bd1-df47-449b-851f-38d82d7c72b1</t>
  </si>
  <si>
    <t>7e0364bc-e8f9-43c5-b801-cb2231c510e5</t>
  </si>
  <si>
    <t>c53d7e33-dbc4-4943-8755-b43bf554d388</t>
  </si>
  <si>
    <t>€24.60</t>
  </si>
  <si>
    <t>€1.50</t>
  </si>
  <si>
    <t>€23.10</t>
  </si>
  <si>
    <t>ab96ba82-8212-4c76-9e85-c23a4e5badba</t>
  </si>
  <si>
    <t>1204422a-fe32-4085-a0eb-d02527802374</t>
  </si>
  <si>
    <t>50d596e9-5a34-49ed-912a-732f505c7174</t>
  </si>
  <si>
    <t>Luisa Leibensberger</t>
  </si>
  <si>
    <t>€1.36</t>
  </si>
  <si>
    <t>€23.24</t>
  </si>
  <si>
    <t>e5692d8f-6f8e-4179-830b-cd0d8f575104</t>
  </si>
  <si>
    <t>f38c28d0-99df-4cc3-bd6a-d026a196f50a</t>
  </si>
  <si>
    <t>Magdalena Wolf </t>
  </si>
  <si>
    <t>998b56de-20dc-475c-8ad1-6854b1397560</t>
  </si>
  <si>
    <t>4e34f54f-9eaf-4bb5-bc4b-5790692e9730</t>
  </si>
  <si>
    <t>8e9013f1-3e83-41ee-bd52-2af723c4d249</t>
  </si>
  <si>
    <t>f2de16c6-ad78-4515-93f8-7601b92ec5ac</t>
  </si>
  <si>
    <t>52651da5-a706-4a8d-90a2-4229a472c280</t>
  </si>
  <si>
    <t>fdf96e00-a9e6-49cc-9f5a-1f6c6ac51306</t>
  </si>
  <si>
    <t>9c636c8c-a1a7-4ee9-a756-807f5f9c5bbf</t>
  </si>
  <si>
    <t>3752484c-424a-4969-9a62-75982b2db5ab</t>
  </si>
  <si>
    <t>01cce414-38d8-4d4c-9793-8e4375a40c24</t>
  </si>
  <si>
    <t>0d72e3e4-476e-49a8-a862-0f80d5e3ab1c</t>
  </si>
  <si>
    <t>€28.70</t>
  </si>
  <si>
    <t>€1.53</t>
  </si>
  <si>
    <t>€27.17</t>
  </si>
  <si>
    <t>fd1d3df9-c567-4204-a89e-e4dd633f4424</t>
  </si>
  <si>
    <t>3459cc99-8f0c-4b05-b9a3-b46588aa70ab</t>
  </si>
  <si>
    <t>b04e8230-11f2-4193-a1d0-f844ecc39c1c</t>
  </si>
  <si>
    <t>466cbb89-4d74-4f1b-8078-48cd8e7c7c7f</t>
  </si>
  <si>
    <t>0ef7070d-70e2-4923-a098-90ed473d56bf</t>
  </si>
  <si>
    <t>e2ef4005-8cc0-4fcd-a5cf-12e0a0bc66f1</t>
  </si>
  <si>
    <t>a4e3006b-7f01-40ac-b3d2-ec8ddbbe7b1c</t>
  </si>
  <si>
    <t>cd8995e7-c32c-4d5d-bf2d-939b2cc1d68f</t>
  </si>
  <si>
    <t>859aba93-2a37-4567-aa1f-ae4054958243</t>
  </si>
  <si>
    <t>dde13a27-5b58-4d0c-9cad-2a547d2f8e52</t>
  </si>
  <si>
    <t>3e93ca0d-4b67-4be3-8bf0-1ed7a36088a3</t>
  </si>
  <si>
    <t>529416d0-4565-4e60-8ebd-0492e69b431c</t>
  </si>
  <si>
    <t>e02d85bf-89bc-4375-ac0e-30be2f295360</t>
  </si>
  <si>
    <t>895d159e-a832-4034-a34b-e8056b69ae12</t>
  </si>
  <si>
    <t>5c525b34-3bd8-4820-b3f7-7e25948bc759</t>
  </si>
  <si>
    <t>c5b229ac-f18d-43f7-a9d6-86b1c630ba66</t>
  </si>
  <si>
    <t>62d11e2e-7471-4b5b-9e11-0a2fc70f3bc9</t>
  </si>
  <si>
    <t>456dbb99-9b26-4f1c-bc84-d16a123ca31c</t>
  </si>
  <si>
    <t>ec519a3e-89a9-4adc-8216-07c595a5ea3b</t>
  </si>
  <si>
    <t>c4ed0bbb-de3f-4827-ad7e-84df58835bac</t>
  </si>
  <si>
    <t>158907ed-fc7d-4e4b-bd37-b60f460c28cc</t>
  </si>
  <si>
    <t>cf97858f-fb60-4e43-b684-e83d2d0eeb6c</t>
  </si>
  <si>
    <t>56ceaf59-bd4b-4258-847e-6669d95d6281</t>
  </si>
  <si>
    <t>c8c6babf-c265-424a-b2bb-9f7118bc5484</t>
  </si>
  <si>
    <t>8f710afc-cdea-4d15-9765-afc51969d138</t>
  </si>
  <si>
    <t>679e14cc-29be-44d1-beca-49b18864cef6</t>
  </si>
  <si>
    <t>f2efe4ad-0c9d-46f9-92aa-cfde6ea745a8</t>
  </si>
  <si>
    <t>e321926d-645f-4dd1-8859-9627155d645d</t>
  </si>
  <si>
    <t>3e7be87a-69c1-452f-bbd5-195025067304</t>
  </si>
  <si>
    <t>c081d4ca-247b-4893-96e3-1360879be3bb</t>
  </si>
  <si>
    <t>€53.30</t>
  </si>
  <si>
    <t>€2.90</t>
  </si>
  <si>
    <t>€50.40</t>
  </si>
  <si>
    <t>1187a552-8e0c-427c-b079-ff35b06ffd58</t>
  </si>
  <si>
    <t>c9dfd12a-874b-4bd3-ba57-9fc3c448c531</t>
  </si>
  <si>
    <t>a74f00b3-791a-4565-bd60-2edf0c81550a</t>
  </si>
  <si>
    <t>8d8697c2-802e-430d-8ac1-b15a6e6dd9d1</t>
  </si>
  <si>
    <t>ef27d965-86b2-4c27-b780-d1225b722fa9</t>
  </si>
  <si>
    <t>3e1e650d-7452-4be0-8dfb-8a54f8e2e6b8</t>
  </si>
  <si>
    <t>8345ba87-5b19-4df8-a283-576cccf95e16</t>
  </si>
  <si>
    <t>4ea487d7-4d1f-47cc-a822-bb3112f40ec3</t>
  </si>
  <si>
    <t>8e56b240-9632-4431-9464-89dc1498483a</t>
  </si>
  <si>
    <t>e34447c0-f83b-4430-a6f8-38668cc91b2d</t>
  </si>
  <si>
    <t>722b6484-8680-498c-835a-fd29a041c7b4</t>
  </si>
  <si>
    <t>c80750e4-5070-489f-b2a1-675f265dca2d</t>
  </si>
  <si>
    <t>bf2adb55-6ed5-4459-8aa6-58a7de588a32</t>
  </si>
  <si>
    <t>30c80a74-ee2c-4222-a840-9607cf3115c5</t>
  </si>
  <si>
    <t>26b22489-d92a-4305-a2ee-608f5f7fa0e3</t>
  </si>
  <si>
    <t>0ded3562-788d-440b-988c-8597ae164a68</t>
  </si>
  <si>
    <t>€21.73</t>
  </si>
  <si>
    <t>€20.37</t>
  </si>
  <si>
    <t>d09b2bf5-8df5-4cb2-8cef-6c675f1e8954</t>
  </si>
  <si>
    <t>84410c5a-46d8-4928-9487-bbb8c66414b3</t>
  </si>
  <si>
    <t>20af20a8-24e6-4808-bcb7-e2024f836c24</t>
  </si>
  <si>
    <t>d685bed6-0869-4cb3-8582-e55cf84c200e</t>
  </si>
  <si>
    <t>b74d8beb-9c63-4fc9-bedd-d366c2455c85</t>
  </si>
  <si>
    <t>edb5697b-4f7a-465d-a392-a8ba560a09cc</t>
  </si>
  <si>
    <t>3017ff57-a91f-4e92-ba34-73eb4c4ee80d</t>
  </si>
  <si>
    <t>1f867ec1-8626-44f6-b7ff-a5c75a576e57</t>
  </si>
  <si>
    <t>b97cc06c-a1d4-4468-a86a-d0fcbaa00376</t>
  </si>
  <si>
    <t>8741044c-24b8-46c7-9abb-ff75007ab709</t>
  </si>
  <si>
    <t>KS DE MOOR</t>
  </si>
  <si>
    <t>a5b38a9e-cd15-431e-aeeb-c6faf230bdf9</t>
  </si>
  <si>
    <t>5632a24d-24a0-41d3-af5d-39cecbb5173a</t>
  </si>
  <si>
    <t>56444458-bd5f-4e5a-b1c5-0c132dad5592</t>
  </si>
  <si>
    <t>19b29d80-c886-4563-9045-e8f8fd0ec5c5</t>
  </si>
  <si>
    <t>43764054-66bb-49ef-97a0-86ec7daed0cf</t>
  </si>
  <si>
    <t>776049e8-1fd5-4fc5-a785-420857eea7e5</t>
  </si>
  <si>
    <t>09df1482-0a4c-4c22-9656-898dd5f17617</t>
  </si>
  <si>
    <t>746a947c-d49e-4144-ae45-f4845384f29b</t>
  </si>
  <si>
    <t>c290cae4-963a-49b7-b485-96c8d937e23b</t>
  </si>
  <si>
    <t>5462ec7b-5ac9-48c2-8a0f-b78a75681f18</t>
  </si>
  <si>
    <t>56b20123-ce9e-4c05-b936-040f1fcae21f</t>
  </si>
  <si>
    <t>2f39cb24-3424-4a41-9779-0ee330d274af</t>
  </si>
  <si>
    <t>a6bc9e0d-d786-45d5-b15e-4886c5b23de7</t>
  </si>
  <si>
    <t>aa84cf6d-717d-4e0d-a289-e809e83a59b5</t>
  </si>
  <si>
    <t>85df6a0c-f76d-4c54-bb23-150d983eb9d0</t>
  </si>
  <si>
    <t>20b0dcbd-4435-412d-9abb-8c7a888852ef</t>
  </si>
  <si>
    <t>2cc3bd11-801e-40e8-9000-1fedf06c3fa8</t>
  </si>
  <si>
    <t>b563c5fd-6e58-4cd1-95b5-d78122037783</t>
  </si>
  <si>
    <t>308082b5-03c5-4daf-9efd-546f854ac4f9</t>
  </si>
  <si>
    <t>aef5e268-f32d-41ef-9eea-b7854fbb4485</t>
  </si>
  <si>
    <t>2a9580dd-b94c-4a8b-a243-f990c8e668c2</t>
  </si>
  <si>
    <t>9d7b3b6a-d607-4735-832b-ece00c60eaca</t>
  </si>
  <si>
    <t>01d6aabc-9094-4307-b49e-876ea8f2a2aa</t>
  </si>
  <si>
    <t>e517f75a-8c4c-4254-b266-d84750b705d8</t>
  </si>
  <si>
    <t>e8d16fcd-a213-4d44-a3da-6b1f37d9a3bf</t>
  </si>
  <si>
    <t>45ea0335-3f7e-4acf-99a8-588426500c61</t>
  </si>
  <si>
    <t>8ef7870f-4cf6-4506-9595-c7bdae67cc5d</t>
  </si>
  <si>
    <t>fe833b20-57a3-45be-b69a-8d6e584a77a8</t>
  </si>
  <si>
    <t>69bc0d13-cb1e-429d-bfb4-fd46cd870b1a</t>
  </si>
  <si>
    <t>€2.59</t>
  </si>
  <si>
    <t>€50.71</t>
  </si>
  <si>
    <t>cb1a028c-46a8-4910-a01e-ae4948d345fb</t>
  </si>
  <si>
    <t>327a3cb6-c26f-4578-82d5-c7fc64a8884c</t>
  </si>
  <si>
    <t>€86.10</t>
  </si>
  <si>
    <t>€4.00</t>
  </si>
  <si>
    <t>€82.10</t>
  </si>
  <si>
    <t>c56b1f71-fc68-4cee-bee9-9f5544e5748b</t>
  </si>
  <si>
    <t>46cdeac4-7538-4017-ac35-ff070da117db</t>
  </si>
  <si>
    <t>91868ae2-6a0f-4e97-86c0-9efb6976baf5</t>
  </si>
  <si>
    <t>f475c86a-6ff1-4c15-8383-ee7c24e38065</t>
  </si>
  <si>
    <t>a0ea896e-d4f7-4200-97e2-cba55794dc43</t>
  </si>
  <si>
    <t>cb2fb12a-d260-441d-9826-f232068d8d09</t>
  </si>
  <si>
    <t>b96c7a02-80d6-438c-8a4a-2f768964f8a4</t>
  </si>
  <si>
    <t>59670d54-1823-43ea-a9ea-9ce84bd7a2db</t>
  </si>
  <si>
    <t>3f604512-400a-434c-bc7e-9e1060f9940d</t>
  </si>
  <si>
    <t>82bde1a7-1ecb-40d9-af92-69ab7af55f61</t>
  </si>
  <si>
    <t>36331fbe-f168-405a-be7e-7bdef5c73466</t>
  </si>
  <si>
    <t>2d8f1fe8-8731-400e-9568-266bf21c9367</t>
  </si>
  <si>
    <t>5ab775b7-08f7-41a9-8a21-fddaa487e2c7</t>
  </si>
  <si>
    <t>b59cb6e1-ac19-4c35-bcb5-e3e9f5ddd8f7</t>
  </si>
  <si>
    <t>c419fa24-a956-4c67-a271-4708d9e3e750</t>
  </si>
  <si>
    <t>15a41e16-bcd6-4ff8-aa8e-de54f77008a3</t>
  </si>
  <si>
    <t>2160f791-e29f-4872-869c-c259d1827d04</t>
  </si>
  <si>
    <t>0f10911b-0a46-41f8-81b6-13af5eca0932</t>
  </si>
  <si>
    <t>7cd7f035-eb4e-48c6-acc9-28afcee338a3</t>
  </si>
  <si>
    <t>€0.80</t>
  </si>
  <si>
    <t>€9.45</t>
  </si>
  <si>
    <t>f563008e-fc04-4f93-a016-41a7fc62338a</t>
  </si>
  <si>
    <t>10369316-89e4-4e97-9e47-4425b9ade117</t>
  </si>
  <si>
    <t>e050c77a-f675-4719-9a46-80efc99e3d7c</t>
  </si>
  <si>
    <t>c717e0e5-c5ab-489f-bd7c-6b25c9b610d4</t>
  </si>
  <si>
    <t>93155659-7736-41d5-ba67-68fd588b8d13</t>
  </si>
  <si>
    <t>cde46a46-2093-40cf-a659-2caf869a2c85</t>
  </si>
  <si>
    <t>12aa4c0c-6810-42cd-8094-2f84ebd281ec</t>
  </si>
  <si>
    <t>d313f817-8b53-450d-9347-4b2648735c71</t>
  </si>
  <si>
    <t>b17cff0b-e55a-4e32-b969-565b1b43e0f2</t>
  </si>
  <si>
    <t>5aeb7d5f-53e8-4cee-be2e-5c5c5cbd5f94</t>
  </si>
  <si>
    <t>cddc48c8-680a-4c6c-bf06-c4998c5237a8</t>
  </si>
  <si>
    <t>0fed034c-57cd-4628-a5cd-e62a5b0fd4ca</t>
  </si>
  <si>
    <t>€12.00</t>
  </si>
  <si>
    <t>ac918583-6ef1-4f7e-9499-d27ea9d34294</t>
  </si>
  <si>
    <t>42bdf804-ed06-4266-871c-8e8801a08fdc</t>
  </si>
  <si>
    <t>fc150ae8-4fde-4c7d-8bca-e6f4f295e7bf</t>
  </si>
  <si>
    <t>2583aa9c-9be3-4a96-b405-7dda966e9c45</t>
  </si>
  <si>
    <t>c22994f8-a609-48a6-b6bc-baf85c44c2db</t>
  </si>
  <si>
    <t>609c037a-edee-4455-825e-4067860b775c</t>
  </si>
  <si>
    <t>1cdad85c-8e7f-4946-ba7b-5aeb10a5843b</t>
  </si>
  <si>
    <t>f8173427-5369-45a4-a73a-f6cc0672735f</t>
  </si>
  <si>
    <t>3b41f195-95aa-4255-9758-83b60b59b7e9</t>
  </si>
  <si>
    <t>51b0bbaf-7ac1-42a8-8e0e-fed8d0ebe9af</t>
  </si>
  <si>
    <t>cd74d07f-a3e4-4108-98ad-900983d372ce</t>
  </si>
  <si>
    <t>2423dfff-137e-4a87-a0a9-2f2654fd50b1</t>
  </si>
  <si>
    <t>86bd2a7c-2ce7-4be4-9a66-6f82f93679fe</t>
  </si>
  <si>
    <t>57abc809-bfbf-455d-90d8-20a52eb8bbe8</t>
  </si>
  <si>
    <t>7a389705-9ef0-48e1-8f49-9423a177f17b</t>
  </si>
  <si>
    <t>cd2fdeb8-a213-42bd-a21b-06f13bf933b2</t>
  </si>
  <si>
    <t>a36b81b1-33f5-489b-b08c-97b027e9a422</t>
  </si>
  <si>
    <t>aae99cab-23be-410c-b264-49731cf73fd9</t>
  </si>
  <si>
    <t>6d6e6672-5667-4bf5-8c8e-c4572a05fefd</t>
  </si>
  <si>
    <t>19c148fc-5ae5-4eda-8f4a-46b482d797ae</t>
  </si>
  <si>
    <t>€27.00</t>
  </si>
  <si>
    <t>37dfd234-f6ff-4e96-90d3-1ef326ef3eea</t>
  </si>
  <si>
    <t>43ff2fea-ac1e-4100-b61c-d18d6479e8b8</t>
  </si>
  <si>
    <t>ab2954a4-1d61-4710-af01-f68ce697a49e</t>
  </si>
  <si>
    <t>19a3d352-f895-407d-bc17-6b85f27e7f8b</t>
  </si>
  <si>
    <t>992b147a-b9b1-4790-8d16-e112bc36f109</t>
  </si>
  <si>
    <t>9d889fbe-6773-47ce-a4b7-0144d00b4859</t>
  </si>
  <si>
    <t>Maria Glória Costa Nóbrega </t>
  </si>
  <si>
    <t>af8ea2d7-dbd1-4cf3-bc5a-f58bf7e46678</t>
  </si>
  <si>
    <t>5b3af62b-d131-4f78-b586-a5a48ca32fb5</t>
  </si>
  <si>
    <t>9df7e2db-7ba0-4c0e-9249-53943fe5edff</t>
  </si>
  <si>
    <t>48e54035-f52d-4c76-b5ff-5be227173e46</t>
  </si>
  <si>
    <t>b5fca954-fbb4-4b32-b647-d995fbca86d8</t>
  </si>
  <si>
    <t>9f084b16-8fd4-4fcd-b844-fd69565221f6</t>
  </si>
  <si>
    <t>40b51f65-7d26-4a3e-88a0-7d9652c1b58e</t>
  </si>
  <si>
    <t>dd4c9a9f-e8ee-40d1-ba29-5f04e7630c54</t>
  </si>
  <si>
    <t>1ccc720e-c94a-477e-b23f-c1027b949a33</t>
  </si>
  <si>
    <t>0a16a17d-3bf2-482e-b80b-6bcfae7e0824</t>
  </si>
  <si>
    <t>cd3ed7cb-63f8-412c-bead-42202ca15031</t>
  </si>
  <si>
    <t>c0687eb1-d9ad-403a-a9d3-9ae4cfdf763b</t>
  </si>
  <si>
    <t>acefdc13-9d3b-45a4-a9aa-b46fe32c9ecb</t>
  </si>
  <si>
    <t>471cb681-141b-457b-8eba-e32f0f8b42bb</t>
  </si>
  <si>
    <t>7292b388-8c28-496b-87c9-6b26f78da86e</t>
  </si>
  <si>
    <t>bfa6e7d9-f950-4e12-8ebe-a0ead7778d21</t>
  </si>
  <si>
    <t>Emily Cook</t>
  </si>
  <si>
    <t>5866729d-e460-409d-b63a-a18cd616f250</t>
  </si>
  <si>
    <t>584806b1-c06e-4710-b748-45daedb5bfb1</t>
  </si>
  <si>
    <t>b81995b7-7c15-4f9c-b26d-14494ce0873e</t>
  </si>
  <si>
    <t>e799ee5e-369f-4b59-b945-ed7e88529857</t>
  </si>
  <si>
    <t>291627e5-d1df-48d4-b31e-ecbee165cf7c</t>
  </si>
  <si>
    <t>ee928680-7fb2-48f3-9cfb-78c904bdb996</t>
  </si>
  <si>
    <t>Hermann Pfeiffer </t>
  </si>
  <si>
    <t>fb022a48-b61f-41bf-aded-1dea7f8517a9</t>
  </si>
  <si>
    <t>add6f2e4-baec-4bfc-901b-e529be90e888</t>
  </si>
  <si>
    <t>1f2d9f87-f07d-4078-a3b0-7dad878cec89</t>
  </si>
  <si>
    <t>ea610d33-45fb-46f5-b31f-d6c76fbad11b</t>
  </si>
  <si>
    <t>01cd7f0b-eb5a-42eb-9176-9b7f8d09003a</t>
  </si>
  <si>
    <t>54a3a526-3af0-4eb1-922e-26291e94ffc4</t>
  </si>
  <si>
    <t>f412a2e8-7a85-4a75-a452-e19f553cf2ae</t>
  </si>
  <si>
    <t>34619f3b-feb5-42aa-84af-570db89b250f</t>
  </si>
  <si>
    <t>078f0aaa-20fc-45ad-b1cb-d5c542e79453</t>
  </si>
  <si>
    <t>8a5d0d9c-8a17-44db-aa7e-1b3f4addb3d3</t>
  </si>
  <si>
    <t>3b6c4f2e-4518-4a3b-bf34-39751e37401b</t>
  </si>
  <si>
    <t>8422970e-ac5f-4b68-a005-a1f833c47725</t>
  </si>
  <si>
    <t>54210542-65a1-439e-8fa0-6c334f08f705</t>
  </si>
  <si>
    <t>cdb25517-4908-4330-840c-a9f121d0d6db</t>
  </si>
  <si>
    <t>0a918243-03fe-4a0b-8381-cf2bc91fa438</t>
  </si>
  <si>
    <t>dc6c7957-e61f-4ee1-acdd-141c7378e2db</t>
  </si>
  <si>
    <t>d0c51785-2c3d-4094-8509-9bd715c5161f</t>
  </si>
  <si>
    <t>5e4e6c1b-ee3c-47a0-abe3-dc19abf53925</t>
  </si>
  <si>
    <t>Lia Kastenhuber </t>
  </si>
  <si>
    <t>41c7641a-1678-4a3c-aaaa-bf9675a8f63a</t>
  </si>
  <si>
    <t>f56f8b8c-4bf9-4322-af7b-6dff5326984f</t>
  </si>
  <si>
    <t>d5a7f643-16df-4e4e-9eac-115aba7fcaba</t>
  </si>
  <si>
    <t>135f6e88-8bfb-4716-843b-c26584fd5f07</t>
  </si>
  <si>
    <t>1382cb78-e273-4b3a-bac1-79e5e42a38e7</t>
  </si>
  <si>
    <t>cb31841f-3524-4cf1-b731-41d64d4df6b3</t>
  </si>
  <si>
    <t>9c5b7870-f783-4f50-a52f-39e2f9e180a4</t>
  </si>
  <si>
    <t>63260ce5-acc5-4bb1-8b58-bc3e6a874fbc</t>
  </si>
  <si>
    <t>1117169c-624c-4a89-9018-cf2316ec5488</t>
  </si>
  <si>
    <t>744d6ae1-b36f-4ddb-8362-1986620acf6a</t>
  </si>
  <si>
    <t>0ba182a4-68c9-45ce-b439-7ed682953a8d</t>
  </si>
  <si>
    <t>872f9e04-3a2d-42d3-bf32-b3b10929c1da</t>
  </si>
  <si>
    <t>eb8aec0c-ae5c-42d5-845d-d53967600a78</t>
  </si>
  <si>
    <t>a3340f75-568f-46f8-abed-a524323339f8</t>
  </si>
  <si>
    <t>a64b7e18-9058-4c64-a149-5330bb673bbb</t>
  </si>
  <si>
    <t>3f27e8f7-96a1-4d74-a1e1-d57baf4c7523</t>
  </si>
  <si>
    <t>7f98b911-56a3-47f9-b54c-952f25ab56ca</t>
  </si>
  <si>
    <t>8d5e44f8-6cc7-4c6e-93a3-396da5ea3dc8</t>
  </si>
  <si>
    <t>19581c40-75d9-4ba9-9f96-af3d031187c0</t>
  </si>
  <si>
    <t>d32494ea-007a-4333-8e13-bf7fe1a29544</t>
  </si>
  <si>
    <t>8b1002fc-4a31-4726-bd7b-e23430a7efa1</t>
  </si>
  <si>
    <t>b004d9f1-7467-49de-9f8d-da0b01b86779</t>
  </si>
  <si>
    <t>849533b0-bc87-45df-98c2-2ba695a89eaa</t>
  </si>
  <si>
    <t>bbf5e362-a67b-4090-8211-5168fa9ed175</t>
  </si>
  <si>
    <t>5a69168e-c037-48c9-a7c2-ba6d0562b637</t>
  </si>
  <si>
    <t>95686774-d282-4574-9596-64855c088fb4</t>
  </si>
  <si>
    <t>83ba3cac-9678-48db-b90d-84cc0dda089b</t>
  </si>
  <si>
    <t>32e5d94d-240e-4668-9954-d7284c9912ea</t>
  </si>
  <si>
    <t>6d5a13bc-533d-41a4-bdc4-d3f49c3854ca</t>
  </si>
  <si>
    <t>d3ff4949-6032-47f7-af9c-f03b52837dcf</t>
  </si>
  <si>
    <t>dd6970d9-10de-4e30-aa50-c4888b948732</t>
  </si>
  <si>
    <t>ded935d7-5fb4-4b63-baaa-9559f4297953</t>
  </si>
  <si>
    <t>1e71c0ed-00ec-4dce-b639-99c7b0d01da9</t>
  </si>
  <si>
    <t>3609e9ea-33ee-4e02-964a-0020dcb72555</t>
  </si>
  <si>
    <t>84d6df61-b0d6-48ce-9fd8-9799f7a39bb6</t>
  </si>
  <si>
    <t>dcbdffd7-315b-41a1-a9d4-5e56d6d8b53a</t>
  </si>
  <si>
    <t>f9f33d4f-98e6-4835-9d49-844a2e7721ac</t>
  </si>
  <si>
    <t>e59b5fc2-6fec-4c5a-9483-6cd627e505b8</t>
  </si>
  <si>
    <t>6ff13dd8-691c-42ff-9820-7cfac921da9e</t>
  </si>
  <si>
    <t>Lia Kastenhuber</t>
  </si>
  <si>
    <t>2e009c9f-680b-4b3d-ae6d-db0939b6b0f2</t>
  </si>
  <si>
    <t>157b0224-ecb5-490a-ae3c-5007dffd7e79</t>
  </si>
  <si>
    <t>5fb3b4cb-28d4-4d81-90dc-0d66eb1875fd</t>
  </si>
  <si>
    <t>b51ba812-24c8-44f3-b0cb-15f06bf1351f</t>
  </si>
  <si>
    <t>f61ca89a-08cd-44e2-999a-e7934c321e59</t>
  </si>
  <si>
    <t>2cc6f8d2-759e-4e90-8488-509bee4fe632</t>
  </si>
  <si>
    <t>ceee51b6-cd22-4b94-b979-af8b82aa29a5</t>
  </si>
  <si>
    <t>536df0af-ca37-47b6-a12e-f1868f451795</t>
  </si>
  <si>
    <t>efb4dc1d-524c-464d-8a49-c9e5fd4e8f49</t>
  </si>
  <si>
    <t>e81a42b0-792f-467e-923a-640704c86de6</t>
  </si>
  <si>
    <t>7601c430-c49d-40a9-ac45-f8f2f1fe4251</t>
  </si>
  <si>
    <t>1b80c16f-4ba4-4459-9537-b2ae88e05efc</t>
  </si>
  <si>
    <t>d94b88ff-c6b5-4e25-b2d8-291a12af89ad</t>
  </si>
  <si>
    <t>eb8d68cb-ad20-44aa-8f00-bc9a15dbb717</t>
  </si>
  <si>
    <t>f197c916-2224-422d-b985-a8fdcb395ef3</t>
  </si>
  <si>
    <t>d4e736eb-cad3-4aad-9e4d-8797c0516cb0</t>
  </si>
  <si>
    <t>1650592a-4ce2-445d-9205-d0a6a0abae08</t>
  </si>
  <si>
    <t>dd34a066-ec3b-4416-8f48-9b84c1f90ab3</t>
  </si>
  <si>
    <t>Sabine Liisa Parn</t>
  </si>
  <si>
    <t>69fa3acb-9c07-4db0-8f91-8fe9e1f281ff</t>
  </si>
  <si>
    <t>c3a889b0-96f5-4b1e-b7b1-9853e359d9bc</t>
  </si>
  <si>
    <t>9f43d80c-f9d3-44e1-9bc4-0373580d7ecd</t>
  </si>
  <si>
    <t>7204c275-05a0-4454-b0de-8039aa172668</t>
  </si>
  <si>
    <t>3411673c-2d1b-4cfa-a71f-481675fd7d55</t>
  </si>
  <si>
    <t>bc9aba6f-076d-46ca-9723-2fde7ccab6e1</t>
  </si>
  <si>
    <t>3c22f1e8-cd5c-4504-ab81-fc2c34e66ca4</t>
  </si>
  <si>
    <t>3001f071-7a51-42a6-a74e-9d9bf3cc90fa</t>
  </si>
  <si>
    <t>569b58c1-fa96-4706-9c94-3a37166a9afb</t>
  </si>
  <si>
    <t>4d20f8e4-edea-4f65-8f8d-f01ede195c5d</t>
  </si>
  <si>
    <t>a7acea1a-6d00-4c8b-a46c-d7afc4b56ddd</t>
  </si>
  <si>
    <t>d5142c4c-57e7-44e8-a159-45258e6351c6</t>
  </si>
  <si>
    <t>5b61446f-4d93-4dbc-83d5-de30589bdd04</t>
  </si>
  <si>
    <t>a2467ef6-4060-4c32-ac6f-340e8a81adda</t>
  </si>
  <si>
    <t>0cdb3f9e-bc78-4da2-88b2-1607e3ea8cb2</t>
  </si>
  <si>
    <t>9e7379a7-778a-41ae-a217-4b7de1ac3e11</t>
  </si>
  <si>
    <t>0af36b23-c2ed-47fe-90a1-0b72aa8b6399</t>
  </si>
  <si>
    <t>b9b72a62-54ca-4eff-8db3-097e3ba007a4</t>
  </si>
  <si>
    <t>de2989cd-81c1-40ab-9d66-336d36a83dff</t>
  </si>
  <si>
    <t>a74af10c-cdfd-4fec-841e-f7ca93ee9e9c</t>
  </si>
  <si>
    <t>36b1909f-d195-4ce2-97f1-96f59267e676</t>
  </si>
  <si>
    <t>d01f4877-dfc2-434f-a6d6-d104c13550b8</t>
  </si>
  <si>
    <t>204522e3-1456-4837-95d4-b5f855376285</t>
  </si>
  <si>
    <t>60d58556-217e-4751-98ef-9f360c3fc53a</t>
  </si>
  <si>
    <t>961d63fd-1fa1-4d8e-abc6-ddf6897324f5</t>
  </si>
  <si>
    <t>d33e4c0a-038f-4ba6-ae10-3a42091aa9eb</t>
  </si>
  <si>
    <t>f722f5e7-4fdc-485e-b2b0-81f0bbd4bebc</t>
  </si>
  <si>
    <t>5dd9cbc6-c2a0-4df8-8201-9a72200eff69</t>
  </si>
  <si>
    <t>0f9ebc3d-d741-4c25-afa4-6784ae4b06f6</t>
  </si>
  <si>
    <t>df7e91d4-ccd4-41b0-8ba4-55f90251f750</t>
  </si>
  <si>
    <t>1a64ebb3-3b2a-414b-bd6e-018e1f7a89ac</t>
  </si>
  <si>
    <t>896debea-d21c-4d58-8c48-7ae386319049</t>
  </si>
  <si>
    <t>c03d4632-bf98-4267-a612-58d9374829d9</t>
  </si>
  <si>
    <t>e22dc613-fe4e-410f-aceb-608734532762</t>
  </si>
  <si>
    <t>35176a1d-ae9a-443a-9f50-d26f4591b9d3</t>
  </si>
  <si>
    <t>c8c249b5-f608-485b-92d1-a15b7fda9e34</t>
  </si>
  <si>
    <t>e8342ca4-c854-4762-bb7b-c71543ade5d0</t>
  </si>
  <si>
    <t>ce390848-6d01-4d97-9e5a-159929bd8934</t>
  </si>
  <si>
    <t>6d594ab0-e507-41e0-9085-0b3a977b6247</t>
  </si>
  <si>
    <t>0fbee25b-fa24-499c-ba22-26651f7131d7</t>
  </si>
  <si>
    <t>d27261ce-211a-4488-ad9e-0c3af4460c9c</t>
  </si>
  <si>
    <t>ddf2c961-6c9b-4c44-88a3-08d73ec9a5c0</t>
  </si>
  <si>
    <t>7718959c-e190-41cd-a6eb-c33b2e4347f6</t>
  </si>
  <si>
    <t>2cedad82-37dc-4ad9-8248-ca8ba6f8ffd0</t>
  </si>
  <si>
    <t>d0930e06-9bfe-458f-bcdc-2543142eacc9</t>
  </si>
  <si>
    <t>6f075d92-1908-4d7f-aece-baac155b4383</t>
  </si>
  <si>
    <t>fbc66f31-1645-4ec4-9398-f481a8b61a9e</t>
  </si>
  <si>
    <t>16a793a4-bb8d-4462-b1bf-89c4f6b6051b</t>
  </si>
  <si>
    <t>5cc6bc3f-0c48-43fe-a5d6-ebc079b2162d</t>
  </si>
  <si>
    <t>749b429e-905c-4eb1-8df8-6c753415ba09</t>
  </si>
  <si>
    <t>b00d7f8e-594d-4397-ab06-b7c91646c717</t>
  </si>
  <si>
    <t>c5b31e07-82f3-4d1d-8c71-cdb9c2d71a15</t>
  </si>
  <si>
    <t>628fd0cb-d288-4b15-99af-cd255fe9b9e9</t>
  </si>
  <si>
    <t>cdd3c08e-9a9e-4848-ba22-31bc9e7ab008</t>
  </si>
  <si>
    <t>9454783a-44bf-49d2-b8bb-e45397853244</t>
  </si>
  <si>
    <t>0cec550e-cc59-4949-a617-2907d32ada48</t>
  </si>
  <si>
    <t>€18.47</t>
  </si>
  <si>
    <t>€1.22</t>
  </si>
  <si>
    <t>65aaaef9-266c-494f-9297-f29cf77d13ba</t>
  </si>
  <si>
    <t>123c9a26-0784-40a4-b787-51c9b080a610</t>
  </si>
  <si>
    <t>01ab0d2c-0c68-419b-9b4b-695b3358bd40</t>
  </si>
  <si>
    <t>c41d4079-00a8-44c1-895e-74cdd9b123ad</t>
  </si>
  <si>
    <t>9de08e0f-9a6e-44e0-94d9-0fd504411744</t>
  </si>
  <si>
    <t>c4d39663-1ccc-47f3-a3c3-6e38b62cffd9</t>
  </si>
  <si>
    <t>99002a88-18b6-40d9-8e56-3bd62a68dc80</t>
  </si>
  <si>
    <t>0b084e29-db82-4472-916f-7db820eb02e7</t>
  </si>
  <si>
    <t>2e7f6bab-d463-48db-b3c5-2ae469c0dfd0</t>
  </si>
  <si>
    <t>21a162c5-9940-4252-a1eb-8c56180e9f67</t>
  </si>
  <si>
    <t>3ee99a64-46ae-49b4-b84d-e07c9db6fabf</t>
  </si>
  <si>
    <t>afbefefe-09b4-4daa-83e8-01d5c762bf85</t>
  </si>
  <si>
    <t>9af52b1d-9311-4416-a092-c57ee4c7b690</t>
  </si>
  <si>
    <t>3057e29d-51d3-48fb-9c1c-f543c0ea9fcf</t>
  </si>
  <si>
    <t>435bf4f5-1913-46af-a06c-d4ff35194936</t>
  </si>
  <si>
    <t>4ab4b07c-7deb-4fbf-9959-f7645c9c7802</t>
  </si>
  <si>
    <t>81fbe96b-57bd-4fc5-a7f0-688da5922aa5</t>
  </si>
  <si>
    <t>0d816d13-69ba-4486-a930-f43c8b3f8c4c</t>
  </si>
  <si>
    <t>a35b1f60-cfe2-4f71-a4d2-9b6ebf65c87c</t>
  </si>
  <si>
    <t>9ee2e2b1-4c8c-4d04-a56f-e9698b6581f0</t>
  </si>
  <si>
    <t>€82.00</t>
  </si>
  <si>
    <t>€4.30</t>
  </si>
  <si>
    <t>€77.70</t>
  </si>
  <si>
    <t>2b7d886c-9f84-45f3-810a-97214bbb8280</t>
  </si>
  <si>
    <t>ff457e2d-0b0f-4da9-b9d7-8d295e42679d</t>
  </si>
  <si>
    <t>97dde5a6-f9c0-419e-985a-8f2305632f9f</t>
  </si>
  <si>
    <t>0db17427-b153-486d-b7d7-9c24d7b1fe5a</t>
  </si>
  <si>
    <t>5481e63a-5c93-4ff2-ab33-e5b0af15816c</t>
  </si>
  <si>
    <t>37105282-13cb-489b-9b11-5dc240e197c3</t>
  </si>
  <si>
    <t>fe0d52c2-241b-4097-b62a-71c36a8f177f</t>
  </si>
  <si>
    <t>fbd88549-93fb-42dd-8cd5-3ef61059dc1e</t>
  </si>
  <si>
    <t>d2b63400-836f-46a6-925c-81419473329b</t>
  </si>
  <si>
    <t>73e7c7e8-588c-4a12-97a0-d97d12b27e05</t>
  </si>
  <si>
    <t>070c9739-2e7b-4e20-8c1e-8e7ac18d8b38</t>
  </si>
  <si>
    <t>aceaa382-32c8-4db4-b3f9-1fdc67b1e44d</t>
  </si>
  <si>
    <t>6c8192bc-b3fe-4415-bbfc-4d5f5cbc238c</t>
  </si>
  <si>
    <t>b69c59e6-d321-4abd-ab76-d4f4c6fe3e0c</t>
  </si>
  <si>
    <t>c20c1e49-d35d-4201-91a7-81f6bb7bcbec</t>
  </si>
  <si>
    <t>8d39057b-d7c7-4c13-91f6-72d7a295494d</t>
  </si>
  <si>
    <t>3acf7e8d-70cc-416b-833a-ff6206980f81</t>
  </si>
  <si>
    <t>7077b9ac-64a3-44e4-9d14-c98cffda1469</t>
  </si>
  <si>
    <t>f0758585-6c83-4d82-a3e1-e077b16d33ac</t>
  </si>
  <si>
    <t>0bd55151-7032-4deb-8037-fbd865241133</t>
  </si>
  <si>
    <t>f7c3297e-4877-42d6-a096-4233d4cb14cf</t>
  </si>
  <si>
    <t>779f3657-8cf2-49c3-bb93-c48e7cabad82</t>
  </si>
  <si>
    <t>7e669226-ae78-42dc-839e-5a65a7e915e2</t>
  </si>
  <si>
    <t>6db7cfde-b814-4a91-b677-f868ca4ecbf5</t>
  </si>
  <si>
    <t>a166a315-c6f5-46b6-99a2-ac6ca2590608</t>
  </si>
  <si>
    <t>969b3ed4-dd7d-406e-b439-8431fe3fbf8c</t>
  </si>
  <si>
    <t>07ba23f3-e22d-4856-8db0-1e09c6142624</t>
  </si>
  <si>
    <t>d057a397-2084-42c9-9beb-6e9ed919a6b5</t>
  </si>
  <si>
    <t>f99770d2-58ba-41dc-b741-634213962afb</t>
  </si>
  <si>
    <t>99aacd27-d575-4f69-ab42-a0a131fd15ed</t>
  </si>
  <si>
    <t>ab5b3ffb-9348-4fe4-ae60-91469977f7fb</t>
  </si>
  <si>
    <t>7f8e9b52-a279-4157-9cf4-ef2c73c8d491</t>
  </si>
  <si>
    <t>d48c05c9-ca0e-4bed-987f-19d6514345de</t>
  </si>
  <si>
    <t>40c3c914-4520-4006-b8c9-c0dcd5cd0707</t>
  </si>
  <si>
    <t>2497c1ab-316d-4aaf-98c9-09edcfda7d8a</t>
  </si>
  <si>
    <t>be4901e2-2bc8-4be3-b14a-825dbee1e650</t>
  </si>
  <si>
    <t>d7ef853c-806f-4e85-9ffc-b2f242f8c346</t>
  </si>
  <si>
    <t>34321248-47e1-4caf-9756-c068c0f6ea81</t>
  </si>
  <si>
    <t>acafe95c-e322-4488-8f11-ae6d4e71f5de</t>
  </si>
  <si>
    <t>9d7d8320-ba52-43c1-a839-1fc6b4d144a4</t>
  </si>
  <si>
    <t>76f174ff-7c8d-462b-b48d-3f93d5c1e81e</t>
  </si>
  <si>
    <t>558fc38a-b03a-4ac9-8456-b952b299156d</t>
  </si>
  <si>
    <t>76f3c0d9-7019-4a7e-b4a3-049fcd697be4</t>
  </si>
  <si>
    <t>baa0107b-18a4-4640-bf85-1c0cf18dec98</t>
  </si>
  <si>
    <t>8a720019-0372-4e65-abfe-cd4d9485eb64</t>
  </si>
  <si>
    <t>491259ce-6785-4956-b001-4090c4f84de4</t>
  </si>
  <si>
    <t>8a8771d4-8836-4dd2-a46d-bda75f66b2c5</t>
  </si>
  <si>
    <t>fba7b552-43c6-4d16-95e8-e8f4b38acc10</t>
  </si>
  <si>
    <t>73938fb5-e793-4402-98ef-1cd0ae432d9f</t>
  </si>
  <si>
    <t>c8549e57-6ff2-484f-a146-c62fd4e5057e</t>
  </si>
  <si>
    <t>61f95703-5da1-46cd-9f2b-1c5270ec09b5</t>
  </si>
  <si>
    <t>4d029480-147d-4989-8024-8ca7ea708a64</t>
  </si>
  <si>
    <t>8fdc1c01-2b99-4d79-8b50-38535b502831</t>
  </si>
  <si>
    <t>26c80014-e6be-4c68-ada7-ddd51dc33201</t>
  </si>
  <si>
    <t>14442583-cae0-4b86-91cd-e4385f14b30a</t>
  </si>
  <si>
    <t>80c54b01-f543-444f-aa64-9faad81e4e16</t>
  </si>
  <si>
    <t>2e66a564-5bc2-4593-bf77-650f8b760da9</t>
  </si>
  <si>
    <t>80e2f218-43b8-41cb-ab18-c38fcad7d369</t>
  </si>
  <si>
    <t>2188a923-0f56-4ec0-b9f2-b37f2bc8d2d4</t>
  </si>
  <si>
    <t>cabc3ceb-53c7-4587-bc6e-b0614d1ebfad</t>
  </si>
  <si>
    <t>ac8718d8-70e8-49c3-bf1a-7dd0a36b6963</t>
  </si>
  <si>
    <t>894d6f07-81f7-4faf-8154-be3b35b80542</t>
  </si>
  <si>
    <t>dcc8cf4f-971c-44b8-95ca-7470cc3adbcf</t>
  </si>
  <si>
    <t>85c7e847-8604-4a9b-a6ff-f53857f449dc</t>
  </si>
  <si>
    <t>62aaaf83-6f55-4514-bf3b-9472312c64d6</t>
  </si>
  <si>
    <t>9ef3efa8-d604-4da0-a899-e160e5c481d5</t>
  </si>
  <si>
    <t>dafa9f45-3aad-4cce-96bc-7ed5aebdfe2f</t>
  </si>
  <si>
    <t>d0c9a814-d1b1-4152-b009-3c7248de750c</t>
  </si>
  <si>
    <t>44ca6671-8d51-4b76-9ac8-035cd7be98dd</t>
  </si>
  <si>
    <t>2744dc7c-5732-4970-9d96-4e5b66b558aa</t>
  </si>
  <si>
    <t>a51b5aa8-efc1-4e1e-9d65-6cf6cb610aa0</t>
  </si>
  <si>
    <t>3fff38ff-9b45-433f-b095-137ff84f6e14</t>
  </si>
  <si>
    <t>f3102427-6eb3-405b-890e-453503e572cf</t>
  </si>
  <si>
    <t>0625748c-db5b-4a0d-bf63-0cffb0891142</t>
  </si>
  <si>
    <t>eb21df10-efb5-4821-b160-6247cf5e2ebd</t>
  </si>
  <si>
    <t>3f4b7bcf-ca3e-47d1-bb85-33ba7696ea22</t>
  </si>
  <si>
    <t>87238ef1-4a8c-4bfc-b354-f1edf5c4c6cb</t>
  </si>
  <si>
    <t>dc262a46-f872-48d3-86d3-e9dc7ea26a59</t>
  </si>
  <si>
    <t>faa288ad-0ddc-4962-aad7-972259a44953</t>
  </si>
  <si>
    <t>93db92a1-7c5c-4af5-8454-91231665f038</t>
  </si>
  <si>
    <t>0c5137c6-861c-4300-979d-fdd3c859b862</t>
  </si>
  <si>
    <t>af18c2c8-f3f7-49d3-b256-7371f7247eac</t>
  </si>
  <si>
    <t>18e51a11-5ce3-4a86-b118-ab506d11175d</t>
  </si>
  <si>
    <t>4922daf8-dcec-4760-a58f-f01158f7fdb4</t>
  </si>
  <si>
    <t>b5841fb1-61fa-42c5-ba1b-1ecc05fd95ce</t>
  </si>
  <si>
    <t>77197997-5878-41d3-99e0-64c2a3b39757</t>
  </si>
  <si>
    <t>46a2eeaf-96f5-4bbd-a721-76878ec454d9</t>
  </si>
  <si>
    <t>f46d4f25-2f0c-4e48-bbb2-a936f3196aef</t>
  </si>
  <si>
    <t>85c8fb92-42e3-42c3-a916-bb2894667d11</t>
  </si>
  <si>
    <t>593a74a5-b24a-4984-aa14-021e05676ce8</t>
  </si>
  <si>
    <t>a8643db1-f13c-4c79-a159-f2022429be35</t>
  </si>
  <si>
    <t>b5c709bd-f8cd-461c-8436-6a5e098720f0</t>
  </si>
  <si>
    <t>c566a892-b578-4d2e-921b-e20e846d6e43</t>
  </si>
  <si>
    <t>babc36f5-e11e-49ec-8616-9c5e88331c10</t>
  </si>
  <si>
    <t>1b185a41-93b8-4299-920a-e7ad15ce0fba</t>
  </si>
  <si>
    <t>506d2d2e-f5db-471e-ad44-a6923ec6f569</t>
  </si>
  <si>
    <t>Emma Charlotte Ferschl</t>
  </si>
  <si>
    <t>f1995ad4-f507-4bf3-adf0-3c64771405d9</t>
  </si>
  <si>
    <t>cbf228ec-8ba4-408d-a534-88b2f8ad6944</t>
  </si>
  <si>
    <t>44a3716d-2b7f-419b-b576-979fa9c582f2</t>
  </si>
  <si>
    <t>9c6acfd0-9762-40a9-9552-bd7d75bd7f79</t>
  </si>
  <si>
    <t>Katherine Owens</t>
  </si>
  <si>
    <t>d03b9d96-b0f5-4897-a9c7-d0da65f63ce6</t>
  </si>
  <si>
    <t>b5ad30de-43bb-494c-84f1-81c49880c845</t>
  </si>
  <si>
    <t>ae5624e3-320b-4ac5-825a-d3ab9d4e19f5</t>
  </si>
  <si>
    <t>cee70c2a-a281-445f-99e0-df6a1cf8c1e4</t>
  </si>
  <si>
    <t>6064f91e-57eb-4257-8329-ee486e73f663</t>
  </si>
  <si>
    <t>221f1bb4-ee67-4200-bbc2-e683278d2b07</t>
  </si>
  <si>
    <t>4a05658d-7cdb-4f22-9842-9bbd28ea445c</t>
  </si>
  <si>
    <t>8b701b7a-784b-4826-8e8f-bb49479408b7</t>
  </si>
  <si>
    <t>a03ff906-d518-453b-bc9a-8e72d2854189</t>
  </si>
  <si>
    <t>9f7e77e3-490d-4681-b42d-1d55496712d4</t>
  </si>
  <si>
    <t>281247b9-ced6-48ce-836b-ebc10c17e3b3</t>
  </si>
  <si>
    <t>6ef5b5f2-8c70-4a1d-b982-219c4fb84be8</t>
  </si>
  <si>
    <t>785f34bc-77c3-42e9-9ac2-245f7ed88707</t>
  </si>
  <si>
    <t>1750f70e-0bc7-4607-b315-820fd5d510cb</t>
  </si>
  <si>
    <t>17eb7367-68af-4506-bb71-fb3951c86c50</t>
  </si>
  <si>
    <t>76c91b07-690e-4fe3-a84d-b6e237914357</t>
  </si>
  <si>
    <t>df794c7e-dae9-4cb4-951e-6470a52b4787</t>
  </si>
  <si>
    <t>4e1b7491-26b5-4842-a54f-0a37f2693254</t>
  </si>
  <si>
    <t>2f053fb0-4b46-414c-978b-896c71ba5ea5</t>
  </si>
  <si>
    <t>Zeynep Naz Öksüz</t>
  </si>
  <si>
    <t>db5344d4-f569-4c2c-b8da-58b23420e88b</t>
  </si>
  <si>
    <t>cc1cea5c-a813-4c17-b2e5-fe9cc357cfe5</t>
  </si>
  <si>
    <t>5ef66c25-3ac9-4dc2-b2dc-a90272039322</t>
  </si>
  <si>
    <t>4cc75565-e3d6-4e0d-95a3-7ddf06f55632</t>
  </si>
  <si>
    <t>08d41c36-805f-4527-b70b-d3ecad873910</t>
  </si>
  <si>
    <t>e615f934-3177-4be0-944d-405654073da1</t>
  </si>
  <si>
    <t>9e8ada30-8d08-41b1-8bee-824d735ad561</t>
  </si>
  <si>
    <t>b5782ea1-1a7b-448c-8af4-91ce7f4dc568</t>
  </si>
  <si>
    <t>stephane siegel</t>
  </si>
  <si>
    <t>467e2621-31e8-4b2e-923f-db5ae4fef606</t>
  </si>
  <si>
    <t>2bcc2f34-bd9c-4313-890e-437dd8ffc464</t>
  </si>
  <si>
    <t>34ab8588-3372-4e71-a5e8-319a8f1faba9</t>
  </si>
  <si>
    <t>5800dd6d-7645-46c4-b75f-7fbd01963fa8</t>
  </si>
  <si>
    <t>fc3c7bfe-df84-46f5-9b3c-f392511f8c9a</t>
  </si>
  <si>
    <t>535c4bd6-15cc-49e6-8f3e-50235ba736ec</t>
  </si>
  <si>
    <t>c2a18810-16c5-481a-bb73-e0131aea0927</t>
  </si>
  <si>
    <t>14196270-d47a-4ea0-804c-28e11cca9941</t>
  </si>
  <si>
    <t>6db4bcf3-a65d-45e3-8d62-418ca988f928</t>
  </si>
  <si>
    <t>e5e19dea-7ecb-4328-9dcd-31c5c8345e19</t>
  </si>
  <si>
    <t>0f18b5eb-7d04-43e3-a879-b49842ffe655</t>
  </si>
  <si>
    <t>157cb8f4-a815-451b-a207-949fc8565ba7</t>
  </si>
  <si>
    <t>7cb1659b-e394-4051-a9e7-e89c09a1015f</t>
  </si>
  <si>
    <t>5a4f86d1-b77d-433d-a836-1aa1b3a810c7</t>
  </si>
  <si>
    <t>f4d66f73-4c0f-49b3-b09a-66b768be2018</t>
  </si>
  <si>
    <t>Vincent Cosimo Ruben Mackert</t>
  </si>
  <si>
    <t>e2eeb6fb-b2ce-45b0-8bae-083974f40697</t>
  </si>
  <si>
    <t>26c6ef1f-bd01-417f-a76b-447a157bd53d</t>
  </si>
  <si>
    <t>20c73fe9-2791-4b30-a8d5-9661fb497f40</t>
  </si>
  <si>
    <t>c1d2cae3-2736-4261-898d-90e491aebbff</t>
  </si>
  <si>
    <t>802bf994-6333-447d-bc17-b6ea5d2fce7b</t>
  </si>
  <si>
    <t>53fcba75-bdcb-4fcd-a8d7-b249f291fcd9</t>
  </si>
  <si>
    <t>0d54a2db-9665-4777-84cf-34ed0df4cb13</t>
  </si>
  <si>
    <t>6dbf5c3d-0882-48f4-9055-460b4ef9059a</t>
  </si>
  <si>
    <t>6cebe6c9-e814-41a7-b48c-4d63561e96f7</t>
  </si>
  <si>
    <t>b85cbf19-745e-4c30-9a74-878efe5a949a</t>
  </si>
  <si>
    <t>5ae7f57a-b193-4ff3-aef8-10aca22de57f</t>
  </si>
  <si>
    <t>0d43cef9-ba03-4986-b312-d633ec9e3cf6</t>
  </si>
  <si>
    <t>f2d754dc-3879-49ec-a584-a0b2a3c3300f</t>
  </si>
  <si>
    <t>770706e4-97c3-4284-a93e-da9599cc2248</t>
  </si>
  <si>
    <t>75e212a3-f71a-4dba-8321-7b97bec04bf9</t>
  </si>
  <si>
    <t>925075d7-b234-49e1-aa7a-f4313e7d688b</t>
  </si>
  <si>
    <t>71cd6e83-0c96-4f67-82dc-8c70b2b492e7</t>
  </si>
  <si>
    <t>1541bc51-0467-419c-9d4d-5d9c4f374aae</t>
  </si>
  <si>
    <t>caedbd25-1380-4c8b-abe3-e6f80df00e07</t>
  </si>
  <si>
    <t>341c7cb9-f0a8-45b1-a283-7bb11de47490</t>
  </si>
  <si>
    <t>3bb78321-2784-4aa6-8f92-55efb65c12fe</t>
  </si>
  <si>
    <t>2ac0b00c-aba6-45e7-85a8-e34f87659f83</t>
  </si>
  <si>
    <t>f989e6c4-4d46-4f65-9796-fe2266be2cf8</t>
  </si>
  <si>
    <t>26fb1f71-92bd-4627-9633-2395ecf72610</t>
  </si>
  <si>
    <t>15d9f73f-952a-4902-acac-0519825f36fa</t>
  </si>
  <si>
    <t>4fae8bfd-9d16-49c2-b430-e104d512b3fd</t>
  </si>
  <si>
    <t>1ed48496-19bc-4096-9988-91c5906de5b8</t>
  </si>
  <si>
    <t>b64cffb2-fcfe-4561-a01f-bdeb4ff0da8c</t>
  </si>
  <si>
    <t>d9f766d0-72e3-41a5-b12f-b962b5c9bce6</t>
  </si>
  <si>
    <t>2b90a77a-9d3a-4e73-b9a3-4dff850d90f4</t>
  </si>
  <si>
    <t>53d88ed0-7d3d-45d9-966a-33ffa7c51f11</t>
  </si>
  <si>
    <t>897970e9-fada-400d-9273-5574bf545057</t>
  </si>
  <si>
    <t>ae46ddd4-4993-4a15-9cc1-83e2a6a81f31</t>
  </si>
  <si>
    <t>3c39028c-a0cc-4f3d-9da7-b4cb482ebffa</t>
  </si>
  <si>
    <t>72cc7aca-b795-4186-8209-ff431c8b4a0c</t>
  </si>
  <si>
    <t>58482df3-a534-45a1-b349-3374e576db38</t>
  </si>
  <si>
    <t>f10adf9a-9a9c-486e-ad46-f7db46a7d48b</t>
  </si>
  <si>
    <t>a8e06dd0-bab6-43eb-a087-9b65d5486e50</t>
  </si>
  <si>
    <t>e2fd796a-0117-4805-8df5-96037f14e5ea</t>
  </si>
  <si>
    <t>6320f549-e249-419c-97ba-f372260f773f</t>
  </si>
  <si>
    <t>c806ae2d-5036-4fb6-b7f6-1afd746807f4</t>
  </si>
  <si>
    <t>0b79165a-f073-4bbc-bb7d-2641b5a42723</t>
  </si>
  <si>
    <t>54f1a0f7-d667-4247-85da-46c09f409469</t>
  </si>
  <si>
    <t>Lotta Marie Bader</t>
  </si>
  <si>
    <t>1610d828-96a7-4e61-a228-6ff442b6e70c</t>
  </si>
  <si>
    <t>52b56340-83c5-4d8a-841b-fb2b7980a576</t>
  </si>
  <si>
    <t>Maddie Aldag</t>
  </si>
  <si>
    <t>885bc58f-8d0e-4d58-879a-d42bdba6724c</t>
  </si>
  <si>
    <t>2a094d23-6933-4cda-8924-a83d620e0ac4</t>
  </si>
  <si>
    <t>6f6de4fe-c964-4d73-9e1e-f602206a4fc3</t>
  </si>
  <si>
    <t>73e5356c-1f66-4fc3-b358-6b7703b35654</t>
  </si>
  <si>
    <t>3e598848-2eed-421f-b1a3-5c5b8c69dfd2</t>
  </si>
  <si>
    <t>f359558d-7061-4669-a895-6838e65f7b94</t>
  </si>
  <si>
    <t>b2bab52e-39ca-4ee7-b58b-dff2c93e4384</t>
  </si>
  <si>
    <t>b9cae644-4df9-4648-9a3f-b4e06519db4b</t>
  </si>
  <si>
    <t>c65e728e-6313-494f-a7f8-0643f5097312</t>
  </si>
  <si>
    <t>a739dfa5-0fc9-404d-bfe1-9e42c0eabef5</t>
  </si>
  <si>
    <t>0e0fe4a6-9d24-4d94-bf57-398ff9b9543a</t>
  </si>
  <si>
    <t>9747bc1a-7808-4943-b004-71c9be75ea2a</t>
  </si>
  <si>
    <t>M</t>
  </si>
  <si>
    <t>a5baac5b-60f0-4e8f-89cf-968d47391ee3</t>
  </si>
  <si>
    <t>223b4bca-5d93-49fe-8a24-120896433389</t>
  </si>
  <si>
    <t>a6b73499-4e78-4d62-a6a8-208846be7cee</t>
  </si>
  <si>
    <t>3b3c9362-69a7-4cbe-8256-51758169f544</t>
  </si>
  <si>
    <t>78aaca6e-7c48-499e-a6a6-fc92f5c18215</t>
  </si>
  <si>
    <t>620d9fc1-c3e7-4bec-83f6-ab4edd473278</t>
  </si>
  <si>
    <t>f5c8b462-5e6a-492b-8e65-9eeb9c836646</t>
  </si>
  <si>
    <t>7cff5c86-bdae-4a0b-b2c6-96aa08c44701</t>
  </si>
  <si>
    <t>€21.53</t>
  </si>
  <si>
    <t>€20.17</t>
  </si>
  <si>
    <t>37f976f2-4216-4199-ae8e-38bda92a9759</t>
  </si>
  <si>
    <t>8c019ad4-ed6c-4e02-a675-849c4fd02046</t>
  </si>
  <si>
    <t>a747a31d-2ea6-40f2-95e3-d1f68d7269d6</t>
  </si>
  <si>
    <t>0919c4bc-5d3b-451e-a7e8-c3df41d0afe4</t>
  </si>
  <si>
    <t>259e90dc-7373-41b4-af67-ee6ff9c46f86</t>
  </si>
  <si>
    <t>337107de-335b-4779-aa75-9efce44dac9a</t>
  </si>
  <si>
    <t>dbf00c58-c58e-4715-afe0-5184d695a924</t>
  </si>
  <si>
    <t>40419531-8a26-4fcc-8e31-31807720dc26</t>
  </si>
  <si>
    <t>8d84c3fa-6128-42a6-a411-c97ce22b8bdb</t>
  </si>
  <si>
    <t>€1.23</t>
  </si>
  <si>
    <t>€20.30</t>
  </si>
  <si>
    <t>b2ed062d-2f65-472e-82ac-1c3f9a463c02</t>
  </si>
  <si>
    <t>e8b90458-70f3-45b4-8c94-34f79de3c8e8</t>
  </si>
  <si>
    <t>cadff1d8-fd8b-48ee-9233-08061923a57c</t>
  </si>
  <si>
    <t>0742474d-5ddf-4b6e-b551-b58d1307efc0</t>
  </si>
  <si>
    <t>18349053-c877-44e6-88b7-b25ef59d7456</t>
  </si>
  <si>
    <t>f31fd8c5-d6bd-4596-b280-4fff7d956afe</t>
  </si>
  <si>
    <t>Lilith Ines Vesti</t>
  </si>
  <si>
    <t>b0f769ba-b48d-46c9-bb6f-4bdabf225d45</t>
  </si>
  <si>
    <t>9c6516e4-48e5-468e-9900-16eab7318668</t>
  </si>
  <si>
    <t>3068ea39-d99a-4990-8dd4-05339bcaffd6</t>
  </si>
  <si>
    <t>501b3d45-9b29-48e5-8478-aa3bf2aa6518</t>
  </si>
  <si>
    <t>bc03a7cf-538d-4dd5-926c-c41706963cc0</t>
  </si>
  <si>
    <t>3b5ac424-d606-4751-ae67-cb59dd61f526</t>
  </si>
  <si>
    <t>01efcdca-66f1-47fc-8a6d-d37dc3d914a7</t>
  </si>
  <si>
    <t>161f8096-b53e-46bd-9e64-ab873d2289fa</t>
  </si>
  <si>
    <t>0677acde-aa2e-4da4-b10b-a575f46b57b7</t>
  </si>
  <si>
    <t>3d7fecfc-bd3e-4b09-a398-62c0c229b414</t>
  </si>
  <si>
    <t>71f7cfbd-67bc-4494-9e4e-6c0921fe0f6d</t>
  </si>
  <si>
    <t>be767eb6-f55d-4c6a-a2da-f5d7d07a0698</t>
  </si>
  <si>
    <t>21cefd95-606c-4b08-a7ce-009b0b19482a</t>
  </si>
  <si>
    <t>7b7413d3-7ea3-4865-bea3-9788d2375991</t>
  </si>
  <si>
    <t>c66f5af2-a8db-4f73-9313-c3b5c566306e</t>
  </si>
  <si>
    <t>86b503be-9fb6-458c-865a-000f1fd2004f</t>
  </si>
  <si>
    <t>421fa437-da5a-4459-b0d7-bf9102861a3a</t>
  </si>
  <si>
    <t>be12bbc1-3bb8-485b-9fd3-e5d98fa77168</t>
  </si>
  <si>
    <t>€23.58</t>
  </si>
  <si>
    <t>€1.32</t>
  </si>
  <si>
    <t>de3230b3-9810-4bf1-93b6-d0dcd7a25398</t>
  </si>
  <si>
    <t>36aca2a2-a027-4005-ad96-b32a2cc28f45</t>
  </si>
  <si>
    <t>409ad038-e6dd-4f40-a2f0-b0457fd3c057</t>
  </si>
  <si>
    <t>0cc6836b-b613-4609-87a5-b955115ba6b1</t>
  </si>
  <si>
    <t>e04f6a56-3cdc-44fe-ba3d-9dc2268cfde6</t>
  </si>
  <si>
    <t>fa896b24-7b82-4adb-92a8-2e2af4a189a2</t>
  </si>
  <si>
    <t>5f33ffce-7b4d-4ead-a4bd-3d8142971b13</t>
  </si>
  <si>
    <t>9d0849e0-e496-493d-8687-e0cf69438ba1</t>
  </si>
  <si>
    <t>a28ab4aa-9eae-4d20-9c8e-5d4340d199d7</t>
  </si>
  <si>
    <t>811f3348-0855-413a-99e9-6cff318b1972</t>
  </si>
  <si>
    <t>1ec2b159-67c9-43a2-9e75-62674d2f31bb</t>
  </si>
  <si>
    <t>fcaa438d-b63d-4b12-9bfb-7e674731ab1d</t>
  </si>
  <si>
    <t>e6a18cb2-0012-41a8-b431-465986fc9b74</t>
  </si>
  <si>
    <t>2a23d62e-8a28-4ef3-9b05-5256f356bdf5</t>
  </si>
  <si>
    <t>0dd418ce-e7f7-4e3f-8e86-4ef4d2dea8b1</t>
  </si>
  <si>
    <t>8954b683-f75e-46a8-b72b-c60fe26f4881</t>
  </si>
  <si>
    <t>f2c464d8-0d94-4773-af48-c4b42435755a</t>
  </si>
  <si>
    <t>687a65dc-5697-4bac-92fb-fc54dde8de48</t>
  </si>
  <si>
    <t>dc9b3474-7a68-4aaa-a772-e6d61d8c2484</t>
  </si>
  <si>
    <t>5a00cc54-065d-437a-9e71-655f8e0dd0d3</t>
  </si>
  <si>
    <t>4efac387-4e99-47fb-bd6b-91b9639ed7cf</t>
  </si>
  <si>
    <t>e73c84f7-1f1c-4efb-b308-bab945de5ffb</t>
  </si>
  <si>
    <t>d034630b-1abc-431b-b481-9092f7afddc7</t>
  </si>
  <si>
    <t>0500ae75-048c-47af-afa6-8d00c9b71429</t>
  </si>
  <si>
    <t>6c5f4adc-6bac-4cff-b6d6-f870e7a1acf5</t>
  </si>
  <si>
    <t>d323758d-0c31-4985-9589-1840de8f4658</t>
  </si>
  <si>
    <t>4e38318b-04a0-4635-9413-2b8df30c89d4</t>
  </si>
  <si>
    <t>41ce7211-15c4-44cd-a7f9-3316e620bbc8</t>
  </si>
  <si>
    <t>5614b1a1-cd4b-40c0-b4b4-16d148665165</t>
  </si>
  <si>
    <t>f95d8554-b8cd-4c58-9b68-dbb1df1218db</t>
  </si>
  <si>
    <t>9695ea70-2bb8-443b-96b1-a5dcd412fc8b</t>
  </si>
  <si>
    <t>35859241-22ab-4adc-9174-20c0f50a15bb</t>
  </si>
  <si>
    <t>b8cf846d-1860-45ae-b835-6cf93b852107</t>
  </si>
  <si>
    <t>650469da-2c18-4fae-8432-b5079f97fb1d</t>
  </si>
  <si>
    <t>2446d150-40bf-48df-a59e-fe10adb5f1cc</t>
  </si>
  <si>
    <t>e7eaf6cc-bfe9-436d-9b0d-1a1993e25b27</t>
  </si>
  <si>
    <t>5efc80bc-79e8-4cc0-a35a-4950dff6ece9</t>
  </si>
  <si>
    <t>655c963a-b675-4a65-90de-72fdd53e1f30</t>
  </si>
  <si>
    <t>2a26f0bc-e72e-4dc7-935e-7ad8ff1a00d7</t>
  </si>
  <si>
    <t>56fcd07f-d581-46d7-bd35-2c9a22b894d0</t>
  </si>
  <si>
    <t>a461a7ff-000b-4867-ad2b-407321b2695d</t>
  </si>
  <si>
    <t>044ed4a2-26fd-44c2-9188-6c8d22a95393</t>
  </si>
  <si>
    <t>ed9871b9-9379-440b-9fdc-1a5940f4fb03</t>
  </si>
  <si>
    <t>4b994765-a7cb-42cb-9425-7d1ec879879c</t>
  </si>
  <si>
    <t>0efd1a39-a1e0-4dc0-aa33-d41a0b82ea0d</t>
  </si>
  <si>
    <t>924ce76a-ede0-4308-887b-5a77cb4c886a</t>
  </si>
  <si>
    <t>755d8603-a898-41a7-8de4-ee44c59378d5</t>
  </si>
  <si>
    <t>a25d5632-985b-4e04-88f4-0a156c6e93b2</t>
  </si>
  <si>
    <t>43f096b9-5ed7-4ec1-aae0-cd2f90333f44</t>
  </si>
  <si>
    <t>5973a43f-74ca-4fea-a7e1-a0aaf11c67ea</t>
  </si>
  <si>
    <t>80a0f2d1-1eaf-4fbb-b49c-a1fe4474c4df</t>
  </si>
  <si>
    <t>07c26777-7af0-4ffe-b79c-387b4e4206e2</t>
  </si>
  <si>
    <t>€1.46</t>
  </si>
  <si>
    <t>€22.12</t>
  </si>
  <si>
    <t>69f270a3-1e0f-4e8d-af11-ae8f74abb9f4</t>
  </si>
  <si>
    <t>bcf9cbe3-5ffd-48e2-b1f2-1c846e67e962</t>
  </si>
  <si>
    <t>410d04e0-8934-47dd-84e7-65a4c5a4651a</t>
  </si>
  <si>
    <t>fd9d000e-2545-417c-8727-07e9f72f5357</t>
  </si>
  <si>
    <t>3c933d0b-e55d-4c94-a88b-78b02b2c032e</t>
  </si>
  <si>
    <t>ad203081-b099-40b3-8d91-dde1a170094d</t>
  </si>
  <si>
    <t>862e9022-84e7-4d00-94db-9719a7eec0af</t>
  </si>
  <si>
    <t>6d1d40bb-5518-45cd-b733-550f092e3b60</t>
  </si>
  <si>
    <t>28771846-306e-4519-af94-1a8ff59bb4dc</t>
  </si>
  <si>
    <t>a74087d2-18da-4f79-9b15-f24f8d23aa35</t>
  </si>
  <si>
    <t>9774da1e-f1fb-4ed1-8556-862f52800ca3</t>
  </si>
  <si>
    <t>30adc8f2-c8d4-475f-b804-ded59ab43936</t>
  </si>
  <si>
    <t>68e76d37-acc4-4ca2-ba42-400ee58e1855</t>
  </si>
  <si>
    <t>66daf1b0-b8e2-42bd-903a-fcaf429de0ba</t>
  </si>
  <si>
    <t>c36841c1-e0f0-40c8-b7af-6ef4759631aa</t>
  </si>
  <si>
    <t>d27481c7-8c15-4083-b0f3-beb5d25e8d13</t>
  </si>
  <si>
    <t>c33a9d93-cbf7-4dc9-8153-8563cf5c85ba</t>
  </si>
  <si>
    <t>e4216acc-a9ed-4a05-bf39-ab5e05ce1265</t>
  </si>
  <si>
    <t>83629e78-d07f-411c-a1d9-e0bb88dcd981</t>
  </si>
  <si>
    <t>cf690197-f595-4ec6-978c-862346d15253</t>
  </si>
  <si>
    <t>9d72cdf0-8a10-4572-be9e-b046e6949219</t>
  </si>
  <si>
    <t>08253ac0-47d2-4210-b37a-f5c915df9c40</t>
  </si>
  <si>
    <t>0d69bd70-6f8e-404d-bad1-22af0e901d29</t>
  </si>
  <si>
    <t>093ad4cb-b42b-4f42-9671-e033d043043f</t>
  </si>
  <si>
    <t>57b7ac3d-0b09-440a-a3b3-383dc5e64de9</t>
  </si>
  <si>
    <t>8684ebf2-026b-44ea-a110-20fcccbdbb4d</t>
  </si>
  <si>
    <t>c6298a7b-8ee8-4779-a3b5-7ad9a2f3ea2b</t>
  </si>
  <si>
    <t>D Sudureac</t>
  </si>
  <si>
    <t>4fd15669-82ad-4c42-90b9-88614937f382</t>
  </si>
  <si>
    <t>ecb4ee72-f057-4cd2-8eb8-62ba51ccb044</t>
  </si>
  <si>
    <t>dbbc9706-9e91-4fb9-9d7f-9e540155fd36</t>
  </si>
  <si>
    <t>bbe3b615-5775-4dbd-aa61-c369560ec2b1</t>
  </si>
  <si>
    <t>2f959986-7623-400b-86de-704750325d4d</t>
  </si>
  <si>
    <t>3c2b8246-9b34-45c9-aa67-7b9ba793a8ed</t>
  </si>
  <si>
    <t>ae3049e0-9983-488d-8fd4-bc8ebb6a7cc9</t>
  </si>
  <si>
    <t>b1aed59f-27bf-4b61-9a66-cb1b36e937f4</t>
  </si>
  <si>
    <t>50f464cb-ed65-4295-b806-16ac86a9c847</t>
  </si>
  <si>
    <t>554b2dfd-9495-4f77-a951-a1c9d8e6d184</t>
  </si>
  <si>
    <t>12761de4-00e3-426f-8b6b-8ac75c3c26ca</t>
  </si>
  <si>
    <t>61aa94ea-0319-458c-961d-7367c99aa3da</t>
  </si>
  <si>
    <t>e765cd7e-47ba-4996-b48f-6d8c8e11e9ca</t>
  </si>
  <si>
    <t>b94e069e-af36-4785-a285-ceb027a7bf95</t>
  </si>
  <si>
    <t>90d2a348-b662-4b35-924e-ffb8d025da81</t>
  </si>
  <si>
    <t>e7254408-d2af-4168-8511-46c263203537</t>
  </si>
  <si>
    <t>687e9c5a-a206-4ff0-8211-0d7813bb8c56</t>
  </si>
  <si>
    <t>9524fae2-b0c7-4b20-a51b-5067fbeac7ae</t>
  </si>
  <si>
    <t>49dae7f8-5618-4c83-af62-66a279e4bd82</t>
  </si>
  <si>
    <t>ee052621-7637-467e-99fc-0413bd5d8fe3</t>
  </si>
  <si>
    <t>638722d9-918d-44cf-b809-29d3e46d9ee4</t>
  </si>
  <si>
    <t>29fad7b9-de73-46dd-93a4-a442583e9924</t>
  </si>
  <si>
    <t>72d84f12-a0e6-43a5-a137-aa224ffa8ddc</t>
  </si>
  <si>
    <t>Soňa Hutnanova </t>
  </si>
  <si>
    <t>€13.32</t>
  </si>
  <si>
    <t>€0.87</t>
  </si>
  <si>
    <t>€12.45</t>
  </si>
  <si>
    <t>b397b9ec-1a38-40bd-bfc5-e8c7340058f6</t>
  </si>
  <si>
    <t>bb450964-8c79-4521-ad31-57faecf120b4</t>
  </si>
  <si>
    <t>e123a513-fa4a-4207-9b8f-6e327dd6ea86</t>
  </si>
  <si>
    <t>e67bacc1-9337-4186-80d1-7b8c47f706b4</t>
  </si>
  <si>
    <t>€45.11</t>
  </si>
  <si>
    <t>€2.25</t>
  </si>
  <si>
    <t>€42.86</t>
  </si>
  <si>
    <t>8acaa051-2391-4f19-a3ec-1690ceee24e6</t>
  </si>
  <si>
    <t>452fced9-ca9b-4b2c-839a-a916602daf2e</t>
  </si>
  <si>
    <t>€1.48</t>
  </si>
  <si>
    <t>€20.05</t>
  </si>
  <si>
    <t>f1c791a3-5082-4193-95c7-0c19e4a311ac</t>
  </si>
  <si>
    <t>2c88996b-a1d3-44e1-b573-6e0f6670fdb6</t>
  </si>
  <si>
    <t>000dc756-dec5-4c98-9c0a-e449b7b9669b</t>
  </si>
  <si>
    <t>3db25c5b-fa7d-49a5-94c8-5478b2334573</t>
  </si>
  <si>
    <t>b67a73bc-0cfc-4beb-b227-b89e918cde22</t>
  </si>
  <si>
    <t>5544773e-8980-4420-8da4-60e5f60092c3</t>
  </si>
  <si>
    <t>de218822-c169-4f88-89ab-6d1cafc0efc2</t>
  </si>
  <si>
    <t>820fd982-cec2-4c6e-a1ef-c7d795d35e40</t>
  </si>
  <si>
    <t>fb0e4dd9-d624-445a-9c7e-e14b638eee3b</t>
  </si>
  <si>
    <t>2681fdb0-2b37-4c57-9b4a-c5cfa52eecf3</t>
  </si>
  <si>
    <t>87ee0a08-de1f-44c7-bf8f-20f0a9024a03</t>
  </si>
  <si>
    <t>7060f94e-f5ef-48c5-b6dc-e6eab72a2fb2</t>
  </si>
  <si>
    <t>a9b11faa-a9a2-4fa5-a11f-151103015e12</t>
  </si>
  <si>
    <t>2d7797fa-bc95-44dd-8204-0cbf63e96c25</t>
  </si>
  <si>
    <t>17fcc6fe-40bd-4b1c-ac76-b015839cbdca</t>
  </si>
  <si>
    <t>0741382c-fc9d-4daa-aeb4-529f2721e9a9</t>
  </si>
  <si>
    <t>40281977-1b2f-4bb9-a040-f7d026a9efc6</t>
  </si>
  <si>
    <t>81853493-c5f5-425d-a621-873a9a4ed5a0</t>
  </si>
  <si>
    <t>c910cd7e-4e6d-4992-a959-ce009aa58a4e</t>
  </si>
  <si>
    <t>c9f0fd95-b272-49e7-a40e-799c269a601a</t>
  </si>
  <si>
    <t>21d4d1fc-665c-4f1f-a7f3-c990929d9d00</t>
  </si>
  <si>
    <t>b5f981d2-d231-4210-a4e9-89fd7a4a6981</t>
  </si>
  <si>
    <t>6d5eeafc-088a-48e4-961c-e4e84103de5f</t>
  </si>
  <si>
    <t>5acc15d3-7446-4757-b87f-fdfb61eb6b94</t>
  </si>
  <si>
    <t>6a636dc6-9834-4158-bc65-e7a9b5736f2f</t>
  </si>
  <si>
    <t>829aee94-e83e-4719-afb0-2970c05831e9</t>
  </si>
  <si>
    <t>01cdce78-bc6f-4467-9362-93a80191c74b</t>
  </si>
  <si>
    <t>e17e46d4-471f-45d5-99f8-4dd287af52d6</t>
  </si>
  <si>
    <t>22fbbc08-dd8e-4071-9673-6ad121fd0fcb</t>
  </si>
  <si>
    <t>f0e96d7e-3c66-4b6c-a4be-a07761518fea</t>
  </si>
  <si>
    <t>bb138d17-1e7e-42df-8f33-9badc9d9c29d</t>
  </si>
  <si>
    <t>2d93c26e-a7b6-4eb7-b565-edacf55651c0</t>
  </si>
  <si>
    <t>37c7c1f2-91cb-4b3b-b413-0c73fc68b258</t>
  </si>
  <si>
    <t>cf2163e6-f5aa-4d27-a265-1e6d009bbf19</t>
  </si>
  <si>
    <t>4c040425-4d20-4fd6-bffe-8b0a4ed3465d</t>
  </si>
  <si>
    <t>7686a56b-522e-4fe4-85e7-58c318e2d6e1</t>
  </si>
  <si>
    <t>cd82f257-73d0-483d-b7e5-61958c623e4b</t>
  </si>
  <si>
    <t>3e165ce7-e3b8-4fab-8255-4f20a236afd7</t>
  </si>
  <si>
    <t>fe43f671-2e22-4f81-9ea2-75beabd7be81</t>
  </si>
  <si>
    <t>d5a8c010-072d-4b86-9402-041ff045e559</t>
  </si>
  <si>
    <t>9cf5c6d4-b0ef-47ff-8dd2-08bafbd72be5</t>
  </si>
  <si>
    <t>f3de7b08-f257-4c2e-a8d4-0f5462c96f6f</t>
  </si>
  <si>
    <t>68a22af4-a4ed-4d8d-b533-dbddc2fd9fca</t>
  </si>
  <si>
    <t>ba8ca9d6-99ad-4e82-982d-cd0bae86a493</t>
  </si>
  <si>
    <t>Paid</t>
  </si>
  <si>
    <t>cdce4c19-8943-4481-97f0-44be0e90cdcd</t>
  </si>
  <si>
    <t>Order</t>
  </si>
  <si>
    <t>6ab4e724-f1d8-4113-a34d-ba7d7578ab20</t>
  </si>
  <si>
    <t>de3d2947-245e-4041-8750-65b50aadd2bd</t>
  </si>
  <si>
    <t>e335fbae-36d2-492d-a101-fbaf84b1c770</t>
  </si>
  <si>
    <t>c9980745-19b0-4043-a22d-5cd9ffba15bd</t>
  </si>
  <si>
    <t>9fd5b188-e6b7-4683-b69a-16ea37cfc7d3</t>
  </si>
  <si>
    <t>9bc46400-063e-4e52-a602-8da678e4d889</t>
  </si>
  <si>
    <t>€60.00</t>
  </si>
  <si>
    <t>€1.80</t>
  </si>
  <si>
    <t>€58.20</t>
  </si>
  <si>
    <t>Tamara Muhr</t>
  </si>
  <si>
    <t>€22.55</t>
  </si>
  <si>
    <t>€1.27</t>
  </si>
  <si>
    <t>€21.28</t>
  </si>
  <si>
    <t>€21.29</t>
  </si>
  <si>
    <t>€21.30</t>
  </si>
  <si>
    <t>€21.31</t>
  </si>
  <si>
    <t>ceb2e3b8-0e32-4e25-9c64-f89e0dc6e090</t>
  </si>
  <si>
    <t>€21.15</t>
  </si>
  <si>
    <t>82242dc5-7a67-4f5f-a9e8-4bd68afbe1cd</t>
  </si>
  <si>
    <t>a033bc32-e2d2-448f-9cb8-47c8bbc5ae8d</t>
  </si>
  <si>
    <t>Sara Tomeska</t>
  </si>
  <si>
    <t>5c4bdb34-22f3-4768-9382-9eec29b8c98f</t>
  </si>
  <si>
    <t>02cea7fa-65ea-4233-bfa9-abba38dfc4ad</t>
  </si>
  <si>
    <t>f7820791-6d43-4037-8390-99183d99a9e6</t>
  </si>
  <si>
    <t>32cd0fec-f82d-408b-a84b-896d7a90505a</t>
  </si>
  <si>
    <t>66e81b72-ec44-4032-96a9-08da51e092ba</t>
  </si>
  <si>
    <t>6ff21ce7-4186-4fb3-a868-8c7972eb20ae</t>
  </si>
  <si>
    <t>6b949128-237e-4bd5-8a79-a5430c6128d1</t>
  </si>
  <si>
    <t>e308981d-57d9-46a8-bb17-0ae41058b426</t>
  </si>
  <si>
    <t>f0bdbc19-0513-4d69-855b-ebbbee03b922</t>
  </si>
  <si>
    <t>Felix Alberer</t>
  </si>
  <si>
    <t>b171498d-8841-4ea3-8ffe-5aeeb15d623e</t>
  </si>
  <si>
    <t>888bdaf8-42e8-422a-9246-15748290ab32</t>
  </si>
  <si>
    <t>1e4eb352-942b-4de7-8fe5-db19eb3e319a</t>
  </si>
  <si>
    <t>Jasmine Stomberg</t>
  </si>
  <si>
    <t>c3b483fe-b555-4be3-9b51-c77f30ca4a34</t>
  </si>
  <si>
    <t>45f6ff6f-cefc-40f6-bb2e-fa8799743099</t>
  </si>
  <si>
    <t>cdc2e7c0-601c-4998-9437-a3b3239189e4</t>
  </si>
  <si>
    <t>ac2e2490-aedf-4f99-8ec2-349cb4275105</t>
  </si>
  <si>
    <t>3b678157-9d66-4d9f-95b7-a10bb5d780f6</t>
  </si>
  <si>
    <t>0a828cbf-4a9b-4e9b-965c-2ea8dfe779a1</t>
  </si>
  <si>
    <t>Katharina Wilges</t>
  </si>
  <si>
    <t>b8460324-d632-411d-89e2-018f6c3a4907</t>
  </si>
  <si>
    <t>2bd61519-6170-459e-8391-fa3157ec5c96</t>
  </si>
  <si>
    <t>40f13b44-865e-4719-a389-0b797e6e4ad0</t>
  </si>
  <si>
    <t>Zarah Stier</t>
  </si>
  <si>
    <t>10c8e277-babd-4b4c-b0bc-d4bf2abd4266</t>
  </si>
  <si>
    <t>502c2658-7be6-4674-89b7-1c5b94217270</t>
  </si>
  <si>
    <t>cc7f7a9c-0a39-47ce-b47f-45f6aedddbec</t>
  </si>
  <si>
    <t>4a258a37-9f99-4b28-9393-f8018ddbde34</t>
  </si>
  <si>
    <t>Lisa Fenninger</t>
  </si>
  <si>
    <t>5ed0d917-0e66-4af2-ba6d-6f6fa5a1315f</t>
  </si>
  <si>
    <t>944363ca-1dd3-48a7-bb34-26ce6587269e</t>
  </si>
  <si>
    <t>Paula Steffens</t>
  </si>
  <si>
    <t>b1bf6e8d-f930-4837-9507-52e27b4a303e</t>
  </si>
  <si>
    <t>€1.44</t>
  </si>
  <si>
    <t>€58.56</t>
  </si>
  <si>
    <t>886b871b-5cf0-4e27-a3f9-245446cc0c3a</t>
  </si>
  <si>
    <t>Kelly McDermott</t>
  </si>
  <si>
    <t>4242b648-ea63-45dc-a493-78982631ebd9</t>
  </si>
  <si>
    <t>def24580-26b7-4dd8-b194-959d39ee96c3</t>
  </si>
  <si>
    <t>81e9ad37-5e1b-42c4-a295-27822718c826</t>
  </si>
  <si>
    <t>84752482-8a31-4f06-84ee-7188bf665772</t>
  </si>
  <si>
    <t>Grethe Tischler</t>
  </si>
  <si>
    <t>93da0517-7c4f-4ffa-9b82-f4fc25511b6e</t>
  </si>
  <si>
    <t>0dfb8676-bfad-4071-8c95-cda10e0689b5</t>
  </si>
  <si>
    <t>Amira Hertkorn</t>
  </si>
  <si>
    <t>dfffe81f-98b1-49c3-bedd-2c67d5775f33</t>
  </si>
  <si>
    <t>b32f51e7-95cd-4834-b8c4-c1903622a23f</t>
  </si>
  <si>
    <t>39025e1c-b094-4f37-815d-4b0c7b16de8c</t>
  </si>
  <si>
    <t>018cb451-1602-461b-8132-9b7e6669fbf0</t>
  </si>
  <si>
    <t>Aimy Loge</t>
  </si>
  <si>
    <t>e856d4fe-697e-4251-a497-d88caf1ce642</t>
  </si>
  <si>
    <t>31092843-db42-481f-ab3d-5c47bb541550</t>
  </si>
  <si>
    <t>4fe5c8f7-a46b-4107-817f-7372465b7b46</t>
  </si>
  <si>
    <t>5e204ce8-bdfc-4687-97a9-fb226c5c0f01</t>
  </si>
  <si>
    <t>bdab557c-0084-42ba-a33c-ffecc2e30c88</t>
  </si>
  <si>
    <t>3f215c58-c375-4647-ba77-7a48bc88dbb3</t>
  </si>
  <si>
    <t>1c11e9fd-e32f-4ca9-b9f4-3ba1cbe3f4f5</t>
  </si>
  <si>
    <t>Jan Lukas Lindner</t>
  </si>
  <si>
    <t>7167a9f3-a443-427b-85f5-6dcb0f9283c6</t>
  </si>
  <si>
    <t>9e851d3f-cea0-4664-abe5-d7b0acc5a397</t>
  </si>
  <si>
    <t>Ben Esch</t>
  </si>
  <si>
    <t>4557b916-26b2-4ba7-bc58-faf555f77255</t>
  </si>
  <si>
    <t>1cac3f10-624e-49f3-bc8a-093997486216</t>
  </si>
  <si>
    <t>Amir Krah</t>
  </si>
  <si>
    <t>4e78d4d2-1e63-4857-abd7-998335ae44a7</t>
  </si>
  <si>
    <t>5f13c029-52ca-4500-b37c-6e18c174f55f</t>
  </si>
  <si>
    <t>0a410ef0-4978-4887-9781-59f56e5e193e</t>
  </si>
  <si>
    <t>5f5326e0-1def-41c5-a307-4a67833bacc3</t>
  </si>
  <si>
    <t>0bfa8163-8761-465c-813e-8190963192b4</t>
  </si>
  <si>
    <t>Natalia Kazbanov</t>
  </si>
  <si>
    <t>7ad4a46a-6bdc-45b6-b61b-b4d49af2cb5b</t>
  </si>
  <si>
    <t>1649d1d1-8db9-4d7d-81f0-601ddd7109d5</t>
  </si>
  <si>
    <t>60fc600d-9f0a-4d88-b1a5-f0bf4df09a24</t>
  </si>
  <si>
    <t>ae05c9d2-a218-4187-8efb-a1f1dfc34ac1</t>
  </si>
  <si>
    <t>bd88394e-dc47-4003-8812-2e5bcbe7315c</t>
  </si>
  <si>
    <t>Nadezda Levitova</t>
  </si>
  <si>
    <t>44c4f1ff-270e-4110-a6ab-7e96fb8e39c4</t>
  </si>
  <si>
    <t>bcf22ac6-6132-45e7-a548-bf4e3a56e77c</t>
  </si>
  <si>
    <t>29e1df3b-6060-4154-a2f0-e595c4bf6e00</t>
  </si>
  <si>
    <t>Anna Fejes</t>
  </si>
  <si>
    <t>6c7aab1f-8a32-409c-903e-b4654731bdb8</t>
  </si>
  <si>
    <t>36447935-135b-4641-b591-b51a0184c4d2</t>
  </si>
  <si>
    <t>Estrid Walker</t>
  </si>
  <si>
    <t>f2e66b48-1cc1-448d-a212-fbc70afd7d51</t>
  </si>
  <si>
    <t>c302d2eb-7f1b-448c-acad-0f01888431a4</t>
  </si>
  <si>
    <t>€21.02</t>
  </si>
  <si>
    <t>89a31e6f-54a1-485a-8f65-44a5d375fa37</t>
  </si>
  <si>
    <t>3a82cb7f-b06d-4f57-b1ff-6507716c5716</t>
  </si>
  <si>
    <t>6fbeecee-b2cf-40d1-a569-aceb24164529</t>
  </si>
  <si>
    <t>7b118ff6-5378-48f1-b735-6b3afb0fee6a</t>
  </si>
  <si>
    <t>3acad354-0602-4c40-b67b-e55b27025aad</t>
  </si>
  <si>
    <t>4bd0fc44-f7cc-4a7e-ba44-3f50926d5614</t>
  </si>
  <si>
    <t>50cb3736-c7dd-45fc-9620-a0d38d751553</t>
  </si>
  <si>
    <t>Tullis Burrows</t>
  </si>
  <si>
    <t>1b8b304b-a357-4087-8f54-12ab3e6bba73</t>
  </si>
  <si>
    <t>a63870a6-ef27-44dd-ada0-bc9398c6f226</t>
  </si>
  <si>
    <t>6d12490e-ceaa-4e59-b4ab-b06b53452cd1</t>
  </si>
  <si>
    <t>8e81907d-9b83-4932-b04c-fa7e037a8216</t>
  </si>
  <si>
    <t>05741c48-11b1-4cbd-8912-309c7010ca58</t>
  </si>
  <si>
    <t>08fea6ad-5e89-4257-85a9-6cef9d6cad0d</t>
  </si>
  <si>
    <t>bb0bb908-7544-4e30-ab25-7fd0da20fc1e</t>
  </si>
  <si>
    <t>692eb96d-418d-4af4-834d-eddbff2b38a8</t>
  </si>
  <si>
    <t>25bfb7d1-ddb3-4f35-af94-aee37bcf5b96</t>
  </si>
  <si>
    <t>bef4192a-ca64-4c87-9140-ef5ac89e4644</t>
  </si>
  <si>
    <t>Chiara Angela Carli</t>
  </si>
  <si>
    <t>a362ea29-14c8-46f2-9e49-873cad5665a8</t>
  </si>
  <si>
    <t>4ff10ac7-32ef-4fcf-be9a-0fad7122e31f</t>
  </si>
  <si>
    <t>cbf7821a-5746-4e8c-86c8-ca59bd24a28d</t>
  </si>
  <si>
    <t>ae36467f-d9c6-4998-aefb-8d41d267b1f6</t>
  </si>
  <si>
    <t>434e4a88-4531-4553-b7f5-e55d0e148d68</t>
  </si>
  <si>
    <t>cbcd833f-ce6d-4b24-be1e-ef468d941b22</t>
  </si>
  <si>
    <t>7d028b46-c473-4eb6-841f-db6e483d9728</t>
  </si>
  <si>
    <t>75b53f7c-0cef-495d-988d-4b0649a56da1</t>
  </si>
  <si>
    <t>86b70aea-c266-423e-ba7e-de9d9d6ab3e4</t>
  </si>
  <si>
    <t>Witold Staniszkis</t>
  </si>
  <si>
    <t>f8c69111-31f7-4a82-9802-d8d96540a7b7</t>
  </si>
  <si>
    <t>72785c35-060b-44b7-a70f-28772a0e5520</t>
  </si>
  <si>
    <t>Nick Gerlach</t>
  </si>
  <si>
    <t>3e8674fc-d234-4c6b-81f8-a9aaa4833a22</t>
  </si>
  <si>
    <t>2519cb96-e8b0-4335-818d-41e2f8b93f43</t>
  </si>
  <si>
    <t>1e0605ef-1854-44a2-881b-bcf3b9c91e11</t>
  </si>
  <si>
    <t>fddb8b6a-becb-4a1a-9665-7a4a398bc641</t>
  </si>
  <si>
    <t>Milinka Alika Surya</t>
  </si>
  <si>
    <t>31ea7935-0e9b-4aa9-a0fb-20d972f872a2</t>
  </si>
  <si>
    <t>17ceb153-8515-41fa-a105-b17e4d15e2e1</t>
  </si>
  <si>
    <t>9bd9851a-9b90-4f89-a078-1605485cafc6</t>
  </si>
  <si>
    <t>Anna Stevin-Kanok</t>
  </si>
  <si>
    <t>9d4e141f-7166-4aa3-8796-6ed9c6542d6f</t>
  </si>
  <si>
    <t>d642a8c6-9920-4a83-a992-e1e38f5228b0</t>
  </si>
  <si>
    <t>35f85099-2a45-471f-8842-2abeed4b87ae</t>
  </si>
  <si>
    <t>69f01776-0e26-4887-97db-7ac86c0da52f</t>
  </si>
  <si>
    <t>ada591f4-7e58-4bba-91ee-ef4632e63195</t>
  </si>
  <si>
    <t>Philip Everts</t>
  </si>
  <si>
    <t>56047b43-55d0-4f3b-aa4c-299e0f709740</t>
  </si>
  <si>
    <t>14bb53d2-61da-47ca-bfb3-998a35831d73</t>
  </si>
  <si>
    <t>c367a773-fcf3-4ec9-9a4c-5ddc89096414</t>
  </si>
  <si>
    <t>000f784c-adc6-4e92-a6b9-e84b3f6a7d1a</t>
  </si>
  <si>
    <t>7a7ba382-06ca-443e-9216-f8ca76b8c7b1</t>
  </si>
  <si>
    <t>c625507d-98c3-440e-bb31-a30005966c99</t>
  </si>
  <si>
    <t>Laura Sapet</t>
  </si>
  <si>
    <t>1d5d5179-e720-4e70-9f06-2154fd136c6e</t>
  </si>
  <si>
    <t>Anton Vollmer</t>
  </si>
  <si>
    <t>9b31cbe8-1641-483b-a00b-da0f8b302f49</t>
  </si>
  <si>
    <t>Alexandra Bulearca</t>
  </si>
  <si>
    <t>9a6bf304-754b-4ec8-88c2-561ebd616d1b</t>
  </si>
  <si>
    <t>Sarah Appelhans</t>
  </si>
  <si>
    <t>ca983837-5bf7-4f0d-9d39-04f642b82d7c</t>
  </si>
  <si>
    <t>f3ff16a9-04c5-4680-a88c-ed38c0e5ca75</t>
  </si>
  <si>
    <t>f2fa25d5-6b3b-4650-91dd-d6be3396fd4d</t>
  </si>
  <si>
    <t>8b854ccf-3c35-42a8-b109-2e5be4421c30</t>
  </si>
  <si>
    <t>97d63a2c-611a-468f-a7d5-f2f4b450b8c5</t>
  </si>
  <si>
    <t>€44.00</t>
  </si>
  <si>
    <t>€1.14</t>
  </si>
  <si>
    <t>a70a1b80-b35a-4643-88bd-36796493bf80</t>
  </si>
  <si>
    <t>f8b76585-3ba7-4cd8-9d73-c28ea650d3a3</t>
  </si>
  <si>
    <t>Irina Kovacheva</t>
  </si>
  <si>
    <t>d40d4054-9d84-4b77-b5ee-6b8569aa5417</t>
  </si>
  <si>
    <t>Hilla Amichay</t>
  </si>
  <si>
    <t>2c910d72-7cd1-4a3d-b002-9f377ce63183</t>
  </si>
  <si>
    <t>Alice Mastná</t>
  </si>
  <si>
    <t>3ac8550d-9016-4bcf-92bb-37d9c8e1ac52</t>
  </si>
  <si>
    <t>12d14839-383e-4817-bbcd-0cbf786ec94a</t>
  </si>
  <si>
    <t>1e3e2e79-5cd2-40ee-8241-f0a95788a2b5</t>
  </si>
  <si>
    <t>ae2724ef-184f-448b-91ec-b33e8f967b60</t>
  </si>
  <si>
    <t>a41ad651-417a-4379-8af8-2dfa24b18a3c</t>
  </si>
  <si>
    <t>1e48699e-78f5-4a6f-8b30-910fe5e43c99</t>
  </si>
  <si>
    <t>ce19117b-d6c6-43b4-9075-83e3af552a98</t>
  </si>
  <si>
    <t>213a83ff-a73c-4d17-a783-e6cbd74908d0</t>
  </si>
  <si>
    <t>e0085e95-2af2-4b55-8c4d-bfd86b2f1990</t>
  </si>
  <si>
    <t>070386a5-1f62-41c9-82a4-ffaa5ae32c02</t>
  </si>
  <si>
    <t>Kasparas Skuja</t>
  </si>
  <si>
    <t>b887bf8c-e7eb-4ab7-b267-e5bb5d72e3a6</t>
  </si>
  <si>
    <t>Mia Mirell Suursalu</t>
  </si>
  <si>
    <t>dce09003-cd1c-4f2d-9124-08d317d196fb</t>
  </si>
  <si>
    <t>6dfb678d-b15c-4caa-8b54-efdd52a22f15</t>
  </si>
  <si>
    <t>Edda Pütz</t>
  </si>
  <si>
    <t>5c6b9af4-05c2-4830-abcd-65ddd073d68c</t>
  </si>
  <si>
    <t>d43feb5a-7b95-4b0a-83f0-0b8affc9b60a</t>
  </si>
  <si>
    <t>Anna Boysen</t>
  </si>
  <si>
    <t>fac21d9b-1f24-4f11-a32d-6958b8b9e7bd</t>
  </si>
  <si>
    <t>52319e46-1c71-4a4d-8a66-25adce105965</t>
  </si>
  <si>
    <t>Hannah Brüderle</t>
  </si>
  <si>
    <t>5ce7fcbb-9c3e-4860-8d95-f5ceb89c28a6</t>
  </si>
  <si>
    <t>0439bf9e-490d-4689-a718-0b0633d53032</t>
  </si>
  <si>
    <t>8168b77f-b5a2-4ed8-b42d-e0f48ddb2c3c</t>
  </si>
  <si>
    <t>Ashlyn Doyle</t>
  </si>
  <si>
    <t>6fb283a3-f351-4703-8e0e-f94aa961d33f</t>
  </si>
  <si>
    <t>39b9e463-3811-4d44-8dd9-222482d2b20e</t>
  </si>
  <si>
    <t>b0d0c7e7-cdf4-4d27-8ee3-ee7851eecf32</t>
  </si>
  <si>
    <t>1e50bfae-ce08-4e08-a149-5e9302f6c85c</t>
  </si>
  <si>
    <t>Clarisse Voute</t>
  </si>
  <si>
    <t>79f5aecf-2d62-4076-bb10-f8c310186de7</t>
  </si>
  <si>
    <t>b7fb378f-a5a2-4076-9141-6878767ea67c</t>
  </si>
  <si>
    <t>447ea581-ffc0-42b8-9cac-0a93e97e6f92</t>
  </si>
  <si>
    <t>75e889c2-4a0c-4f28-8d41-19dcb51b8439</t>
  </si>
  <si>
    <t>Kristupas Banys</t>
  </si>
  <si>
    <t>11129dcf-62a7-4da1-8b03-1b8455143ef1</t>
  </si>
  <si>
    <t>2188e465-a6e4-4b79-bc04-603d9dde2bd3</t>
  </si>
  <si>
    <t>bce42c7e-6bdc-4500-b909-5fba5c06c473</t>
  </si>
  <si>
    <t>3d19788c-c057-476c-9881-a498e5d5c932</t>
  </si>
  <si>
    <t>Flora Gerhardus</t>
  </si>
  <si>
    <t>7702425d-ef9b-4bc3-8780-012f4aff1894</t>
  </si>
  <si>
    <t>c47b48a4-8887-43c0-9a56-a48a2aec89e5</t>
  </si>
  <si>
    <t>4339de79-43ce-41a6-85e7-cd6e3e029c40</t>
  </si>
  <si>
    <t>c410fdb2-1074-4b37-8575-2281d828063c</t>
  </si>
  <si>
    <t>b48a9497-1a9e-4e8a-9c77-eb5912c3661c</t>
  </si>
  <si>
    <t>Natalia Kotulska</t>
  </si>
  <si>
    <t>8b6176a7-3b44-4dff-9ffe-b536eef091be</t>
  </si>
  <si>
    <t>Julius Heremans</t>
  </si>
  <si>
    <t>72c2f794-41be-4ddd-8d4a-61b5aa6e3a37</t>
  </si>
  <si>
    <t>f7d19cfd-19d8-4a8b-8c10-57d359072540</t>
  </si>
  <si>
    <t>9ac4f4a3-0e6a-4474-98cb-084265dc4575</t>
  </si>
  <si>
    <t>09cc4f34-023d-4f55-932d-71652c902a19</t>
  </si>
  <si>
    <t>08505bf3-f61e-4142-80bb-e0cb82c53f48</t>
  </si>
  <si>
    <t>902693c0-b18b-4b06-8b8f-4200c8816085</t>
  </si>
  <si>
    <t>efb09420-622f-4370-9405-8b92b4b86e14</t>
  </si>
  <si>
    <t>Cecilia Tang</t>
  </si>
  <si>
    <t>f12ed15d-c04c-4340-90a8-9ddd630e351e</t>
  </si>
  <si>
    <t>d4d0c526-3982-4063-a4f2-c0f3ddb8345a</t>
  </si>
  <si>
    <t>Konrad Koskimo</t>
  </si>
  <si>
    <t>89d12933-cc54-4e7a-b976-78afea4acee2</t>
  </si>
  <si>
    <t>48af57bf-8677-4b35-bc8b-53c95dabf25a</t>
  </si>
  <si>
    <t>2bbd2f4a-fff1-475a-ae8d-684e6b159ad8</t>
  </si>
  <si>
    <t>e63aba59-204b-4d73-8b60-831087592687</t>
  </si>
  <si>
    <t>d14d0dc6-df70-4b03-934d-83a1ca4b7076</t>
  </si>
  <si>
    <t>Rūta Meiere</t>
  </si>
  <si>
    <t>355f5669-2635-40b8-ba93-9da40378a584</t>
  </si>
  <si>
    <t>Benjamin Puganigg</t>
  </si>
  <si>
    <t>1499a866-eb78-49a6-98f3-a21358f66e27</t>
  </si>
  <si>
    <t>62771889-df6b-440e-ab4e-539d94d807c9</t>
  </si>
  <si>
    <t>4be3ce0d-b8df-4096-80df-4af22e88fa1c</t>
  </si>
  <si>
    <t>17a798ef-662e-4e64-a5bf-7b6d3b18959a</t>
  </si>
  <si>
    <t>b9081539-7a5c-4782-83b1-4d4cc263de25</t>
  </si>
  <si>
    <t>444cd738-b8f2-4fd9-aa61-6c6b47850928</t>
  </si>
  <si>
    <t>2dea38e0-0bad-478f-bf54-974fd32eb19a</t>
  </si>
  <si>
    <t>ca830b4c-6d33-4bf2-bb8f-e9ddf4f474ac</t>
  </si>
  <si>
    <t>9ec4f00f-1502-4892-acf4-138b1b21b5ec</t>
  </si>
  <si>
    <t>e1e220b0-0bc3-496e-a1ac-51b0cb9fbe3c</t>
  </si>
  <si>
    <t>9bb52973-80fa-4702-a892-f2e5aad061c9</t>
  </si>
  <si>
    <t>d5114e03-5b72-4036-a55e-2651bd82b384</t>
  </si>
  <si>
    <t>365202b8-679c-4db7-8d87-bc2f8d54b607</t>
  </si>
  <si>
    <t>ef614fab-8134-4d77-a8ca-fc407ae370d2</t>
  </si>
  <si>
    <t>Maria Rosaria Biondi</t>
  </si>
  <si>
    <t>d2693fc1-fb58-4c00-a2a8-24daccafaacf</t>
  </si>
  <si>
    <t>India Stevens</t>
  </si>
  <si>
    <t>4f9ef370-1793-4a22-89d3-6d9914c1b12a</t>
  </si>
  <si>
    <t>Mia Fischer</t>
  </si>
  <si>
    <t>3802fffb-706d-4fa3-9e30-1ddc5339645e</t>
  </si>
  <si>
    <t>9f3657ec-8ae4-4b5e-873d-418de0b02b64</t>
  </si>
  <si>
    <t>8c3676b0-c610-485a-bc28-de785b194a66</t>
  </si>
  <si>
    <t>6fb7c6b6-9454-4254-ae3c-84e6face58f4</t>
  </si>
  <si>
    <t>Ariana Sangtani</t>
  </si>
  <si>
    <t>a019b054-10b8-4618-92cb-50027c3feefe</t>
  </si>
  <si>
    <t>1aa374e0-5b5d-485e-97c7-e107d4b6f75b</t>
  </si>
  <si>
    <t>d55e65a9-8466-407a-b618-134019383afa</t>
  </si>
  <si>
    <t>df721c90-343b-4048-8c33-4cc59048b41c</t>
  </si>
  <si>
    <t>31cf4dd1-07d4-49c2-87cb-2c72d7e48298</t>
  </si>
  <si>
    <t>Jannis Lommen</t>
  </si>
  <si>
    <t>158fee8c-8cd2-4c08-a10e-45e8a60d8e22</t>
  </si>
  <si>
    <t>76f450aa-e911-43ab-802e-4b2ce61de756</t>
  </si>
  <si>
    <t>Ilja Tomkovics</t>
  </si>
  <si>
    <t>54d7759c-d402-4f46-88f2-d16577f72580</t>
  </si>
  <si>
    <t>e9588e13-552f-4c81-9d06-2189c004d0b5</t>
  </si>
  <si>
    <t>47c7abb4-5a35-4137-9e76-3a00467251a1</t>
  </si>
  <si>
    <t>79929d17-d46e-4d9f-a56f-f418d1932cee</t>
  </si>
  <si>
    <t>51b9b317-b9b4-4d1a-9c89-0c73272386db</t>
  </si>
  <si>
    <t>53b87d7d-e677-427e-9569-dc053577a3fe</t>
  </si>
  <si>
    <t>7f13c100-93e5-480e-ba38-9e5e7a729dc5</t>
  </si>
  <si>
    <t>Gabriel Murphy</t>
  </si>
  <si>
    <t>e8e2a2b9-e9dd-42f4-ba5e-e3a9f0848fd4</t>
  </si>
  <si>
    <t>1cbe84b4-7d65-4179-9b90-8486883fee7d</t>
  </si>
  <si>
    <t>0ec88b00-6fa8-4f8a-8ea9-a98fd801c07d</t>
  </si>
  <si>
    <t>7288f081-1857-4489-a621-dac4ca6cafd5</t>
  </si>
  <si>
    <t>30468780-5785-4ccf-bf67-21f6f6b2159a</t>
  </si>
  <si>
    <t>a06c148d-2937-4a5c-9b12-096f816c9f2f</t>
  </si>
  <si>
    <t>63e284ca-1b15-45e8-8dca-a089c640a1df</t>
  </si>
  <si>
    <t>b6b87468-81a5-4d40-b251-07755d54306e</t>
  </si>
  <si>
    <t>Philipp Graser</t>
  </si>
  <si>
    <t>f1bb9bb7-a748-4c96-9c3f-b8f1e2fb73df</t>
  </si>
  <si>
    <t>Sofia Fagiani</t>
  </si>
  <si>
    <t>aeed475a-148f-4f0d-a077-e8a56e409c4b</t>
  </si>
  <si>
    <t>Maluba Löw</t>
  </si>
  <si>
    <t>d82dce3a-938b-4c3c-a1b6-fbeeff0aa73e</t>
  </si>
  <si>
    <t>c8144e7d-f9a8-4b82-a76b-ec8ad4d44ea1</t>
  </si>
  <si>
    <t>46ca70d5-2e72-47a1-8ecc-852f08608fba</t>
  </si>
  <si>
    <t>5e27ad49-d42e-4912-ba7c-1b9498b91872</t>
  </si>
  <si>
    <t>6e2a9357-6048-454e-8b07-1d8443f867a8</t>
  </si>
  <si>
    <t>7efd1353-5652-4945-95ba-ad26aafae803</t>
  </si>
  <si>
    <t>f91593da-473b-4378-ae04-424c6e67c74b</t>
  </si>
  <si>
    <t>c01b9f77-7bc9-4742-9a76-785a1e55c191</t>
  </si>
  <si>
    <t>bc821a38-ef4c-4942-bd80-a18a3d67d2d1</t>
  </si>
  <si>
    <t>d76c7d43-383b-4aaa-be2f-e89354930830</t>
  </si>
  <si>
    <t>4ddd28fb-d8ef-4846-bfbf-debb67e3c252</t>
  </si>
  <si>
    <t>7508b708-9cb2-4c67-92b0-cfa93908df11</t>
  </si>
  <si>
    <t>82745ab5-c7bb-4b4f-9339-fb7442d5b2a2</t>
  </si>
  <si>
    <t>0aad326c-0d81-4194-ba90-37458c022f7c</t>
  </si>
  <si>
    <t>fd8c1817-00a6-4c3d-bd1e-732ff384b7ee</t>
  </si>
  <si>
    <t>53168523-05aa-4742-b0e2-ca2028e767ff</t>
  </si>
  <si>
    <t>d1471dbd-d5e5-4bed-bbf2-62de09ffcca2</t>
  </si>
  <si>
    <t>Genoveffa Corbo</t>
  </si>
  <si>
    <t>58e9500b-e461-466c-8c19-319077b88769</t>
  </si>
  <si>
    <t>0f7f15a4-e265-40c9-87d4-297375381c44</t>
  </si>
  <si>
    <t>c86305c3-1913-4f9f-a981-e31720bd3c76</t>
  </si>
  <si>
    <t>ae7506a6-ce1e-4872-8591-4912c4c14706</t>
  </si>
  <si>
    <t>da7272be-77e1-4ba1-a3fd-b7f898e09bf3</t>
  </si>
  <si>
    <t>0f1ffedf-f1bc-4073-847f-347c179bcf9d</t>
  </si>
  <si>
    <t>delatte jeanne</t>
  </si>
  <si>
    <t>e63b06cb-ffca-440a-949d-5abea25b4f85</t>
  </si>
  <si>
    <t>0a5fd290-1463-492f-9eb3-77d462475874</t>
  </si>
  <si>
    <t>add212e1-1bc1-40ea-ac5f-a8d0b7060d1e</t>
  </si>
  <si>
    <t>63f9c729-5e24-4c4f-80d9-f38ac9ed126f</t>
  </si>
  <si>
    <t>137147e1-9f72-4f5f-883e-de88a501913b</t>
  </si>
  <si>
    <t>f4893db9-c375-40a6-ac44-1b5052d05ba0</t>
  </si>
  <si>
    <t>bbfd842a-23aa-47a0-9510-e11feb870ba6</t>
  </si>
  <si>
    <t>a0b12592-5b88-4fe7-8a80-7048f6ff1c37</t>
  </si>
  <si>
    <t>022598c2-4b08-432c-bc17-c3cb8084655b</t>
  </si>
  <si>
    <t>056637f2-ca3d-4373-9738-708b5c143ac5</t>
  </si>
  <si>
    <t>823795db-4303-4db6-954b-e49cd5cd9f6c</t>
  </si>
  <si>
    <t>Google Pay</t>
  </si>
  <si>
    <t>98d42b23-a82b-4381-913f-839f4e818b83</t>
  </si>
  <si>
    <t>c0456095-29f0-408e-98e7-f5f7cfc7422a</t>
  </si>
  <si>
    <t>081deb5e-4ac5-4189-b9e8-2656d4bf82a7</t>
  </si>
  <si>
    <t>c0a74ddb-d6c8-446c-9887-d897f768e9da</t>
  </si>
  <si>
    <t>b94aa855-41df-4555-8adb-c9ad1c0a716b</t>
  </si>
  <si>
    <t>dfe5d67e-d135-48d6-b24a-e8104c465dfb</t>
  </si>
  <si>
    <t>67a36d5b-f140-4b16-bbdd-3375e5c02fde</t>
  </si>
  <si>
    <t>e8455066-5abe-4fe0-8119-16de41970674</t>
  </si>
  <si>
    <t>e9f6dfe5-5636-452b-83be-55fa09c93aed</t>
  </si>
  <si>
    <t>41d4a63e-a334-4128-aee4-8a2bb2f869bb</t>
  </si>
  <si>
    <t>41a9cb03-9399-4cf5-9ba0-a841c8f659fb</t>
  </si>
  <si>
    <t>5f08c9bb-365d-4813-8b86-bc90392010d3</t>
  </si>
  <si>
    <t>c784eb03-5f25-4008-b2eb-d792cc35e396</t>
  </si>
  <si>
    <t>d5f7745e-b8e9-4f73-96c9-2ab7d9338198</t>
  </si>
  <si>
    <t>97417a08-3b45-40ee-9dcd-1a827e1c0713</t>
  </si>
  <si>
    <t>85fcb51a-4eb0-462a-8572-b679163f4215</t>
  </si>
  <si>
    <t>cc624041-2b76-4669-80c6-116066947b21</t>
  </si>
  <si>
    <t>6ac2acda-d44e-4f43-ac72-424829d2afe4</t>
  </si>
  <si>
    <t>44997674-b874-426b-89b4-7481eafcef2e</t>
  </si>
  <si>
    <t>631c9c9f-e4ba-4d1c-906b-1d23216a9b82</t>
  </si>
  <si>
    <t>66bdc84e-e6ed-49dc-9d71-0cbca0ef2bfb</t>
  </si>
  <si>
    <t>Liviu Andrei Taran</t>
  </si>
  <si>
    <t>€57.84</t>
  </si>
  <si>
    <t>91bd34d5-cda4-47a2-9bd7-224806275485</t>
  </si>
  <si>
    <t>492ff895-ee5f-495b-adc8-bdfa33c4e389</t>
  </si>
  <si>
    <t>d3aec54d-7ea3-4ba3-b218-4359aaafbfb8</t>
  </si>
  <si>
    <t>39da0c75-3914-4cfa-8964-addb3831697d</t>
  </si>
  <si>
    <t>26f20db2-b12e-4c88-ba7c-c6376cc9d6f2</t>
  </si>
  <si>
    <t>6e80065b-1a68-4783-a1a0-c02452101609</t>
  </si>
  <si>
    <t>4bfa227e-871f-48d3-8121-018259d34a3a</t>
  </si>
  <si>
    <t>8a3a4ab1-30a1-47b2-a6b6-b3c2ec561ef8</t>
  </si>
  <si>
    <t>15832fb1-65b7-43c0-80fd-8a1971ea0cf0</t>
  </si>
  <si>
    <t>762972c1-2272-4655-9bcf-e606b3b5e2f3</t>
  </si>
  <si>
    <t>d90a6415-3b60-4e41-bd0b-cf666f4d9c17</t>
  </si>
  <si>
    <t>b4e518f2-2e89-4646-8995-c0e74e9ec71c</t>
  </si>
  <si>
    <t>f1fc1815-adf3-4ae7-84c5-91a36d2fab3a</t>
  </si>
  <si>
    <t>684ad520-f1dc-4c03-a04f-b435cb77b64d</t>
  </si>
  <si>
    <t>9efe95ab-b46d-4535-b133-8fd02097b82b</t>
  </si>
  <si>
    <t>d31faa4e-b53c-41ab-ba29-2e69dd0432dc</t>
  </si>
  <si>
    <t>Liga Klavina</t>
  </si>
  <si>
    <t>f488c7cf-e198-428c-9056-50b52402e6db</t>
  </si>
  <si>
    <t>78822502-d873-4095-beac-ea502e97a47a</t>
  </si>
  <si>
    <t>2bf9b707-68b1-4720-b7b7-07b28e512e79</t>
  </si>
  <si>
    <t>0385e632-ff76-4afb-af09-cb5d3c6271fa</t>
  </si>
  <si>
    <t>e9ad5c5a-61b6-453d-bf45-3bea779b0db8</t>
  </si>
  <si>
    <t>73546a4f-1623-4eac-8a2c-00ba41b4c0bc</t>
  </si>
  <si>
    <t>b8095ac2-0bc3-44aa-a21b-50342ea6621d</t>
  </si>
  <si>
    <t>6dcba98a-168c-4a6b-9e5a-11051b10b289</t>
  </si>
  <si>
    <t>c8669d69-caf9-43a0-a461-2dd9c313b9e1</t>
  </si>
  <si>
    <t>32139569-89a1-4175-adf5-4f3851b1766f</t>
  </si>
  <si>
    <t>b2384f57-19ef-4a40-949d-d823385cec39</t>
  </si>
  <si>
    <t>e7749f45-66a5-4cc7-be87-f08a87b833c9</t>
  </si>
  <si>
    <t>9e43b2e5-a71b-40ce-b41f-62ce0b80ee9c</t>
  </si>
  <si>
    <t>6d6cb38b-4add-4866-87f8-8afd3a3f22f7</t>
  </si>
  <si>
    <t>783b7243-31e0-42e6-811d-8da9ca8e3c88</t>
  </si>
  <si>
    <t>e955496a-f6ba-416e-aed7-4d70f466ba26</t>
  </si>
  <si>
    <t>€42.60</t>
  </si>
  <si>
    <t>f4ece029-4157-423e-aac9-6257c78ca255</t>
  </si>
  <si>
    <t>45fc73d2-84bc-4c19-b80b-d081748d95bb</t>
  </si>
  <si>
    <t>fde0156f-89c4-4801-a55a-baf3fecc7f1f</t>
  </si>
  <si>
    <t>98386fad-f1e2-492f-bbb0-b6ccb969c4dd</t>
  </si>
  <si>
    <t>b168d1e4-9197-4e42-a0dd-e53ebd540831</t>
  </si>
  <si>
    <t>b27b1f07-2e29-4ac7-9f01-1494542f5eb4</t>
  </si>
  <si>
    <t>0b5e55a6-5b75-4fca-8baf-356b112ca99a</t>
  </si>
  <si>
    <t>8ab1f4a8-5d3d-411f-9730-faf430b1b155</t>
  </si>
  <si>
    <t>Kelly Sophie McDermott</t>
  </si>
  <si>
    <t>80e07afa-6bf8-469e-8b1a-8e36f69b9fd1</t>
  </si>
  <si>
    <t>69b11836-9ab4-4fb6-b3ac-de1da7426902</t>
  </si>
  <si>
    <t>Luisa Schaumann </t>
  </si>
  <si>
    <t>bd757ddb-a0d8-45da-b998-47c9e1fa3171</t>
  </si>
  <si>
    <t>907e4626-56ef-4a2d-a683-7c4c04cfcf60</t>
  </si>
  <si>
    <t>dccf8dc5-99e4-44f4-800f-5c64572b7947</t>
  </si>
  <si>
    <t>ceddf2f4-e372-4246-a0cb-b8d95ff09c3c</t>
  </si>
  <si>
    <t>549b8e36-66d7-4e34-8689-5e2ca05ed0a6</t>
  </si>
  <si>
    <t>6173141d-571e-4781-bb7f-5ed2aaf0cc87</t>
  </si>
  <si>
    <t>89213328-cd08-4b98-a4d9-5d053f83878e</t>
  </si>
  <si>
    <t>85576394-511e-436c-8d36-bda4ac3911be</t>
  </si>
  <si>
    <t>e38c8d1a-0916-48d1-bf15-c29fa32fda91</t>
  </si>
  <si>
    <t>1c8ce369-fbb9-40a0-8739-9465b0373f69</t>
  </si>
  <si>
    <t>f536494f-cd72-4f17-a1d8-61e9cf26b597</t>
  </si>
  <si>
    <t>28e8b09b-f0c7-4b7f-8fbf-efb59cfcd2fd</t>
  </si>
  <si>
    <t>3ad5d724-3d41-458b-9fb5-18e0f5ea0f8b</t>
  </si>
  <si>
    <t>753ce933-00f3-4cda-b58f-eeafce84cb58</t>
  </si>
  <si>
    <t>199aa240-d53f-4d64-a582-ccc2cff9293f</t>
  </si>
  <si>
    <t>192a1500-965e-468b-9acb-67fcda1fcf36</t>
  </si>
  <si>
    <t>da32040e-833e-4385-8a38-1357c14575b3</t>
  </si>
  <si>
    <t>e0eadad6-a6ae-4db1-a1fb-3bbf300b5010</t>
  </si>
  <si>
    <t>c7ba220a-bd3a-42c9-9e09-d915732d4d28</t>
  </si>
  <si>
    <t>40eaf3ef-94c7-4b37-9d86-1e9ac9804f72</t>
  </si>
  <si>
    <t>8b8647e0-1013-4146-8cc4-34409fac3d77</t>
  </si>
  <si>
    <t>13126650-b848-4cac-ae80-d4e948940d89</t>
  </si>
  <si>
    <t>Regina Israel</t>
  </si>
  <si>
    <t>17538cd2-e8e9-4138-8a18-95ca4db5c532</t>
  </si>
  <si>
    <t>1dc7fe99-616c-4439-9387-de883cbe2ae9</t>
  </si>
  <si>
    <t>f65693b5-e337-4bff-b30b-118e84430553</t>
  </si>
  <si>
    <t>437f66e9-c13d-425e-b0b7-a4d9510c5dd4</t>
  </si>
  <si>
    <t>3a20994e-e331-4e43-9e69-0523e7588ac2</t>
  </si>
  <si>
    <t>cc867765-f3ae-4c81-bcc5-a8d377791184</t>
  </si>
  <si>
    <t>Sarah C Horstmann</t>
  </si>
  <si>
    <t>285dc082-b778-4c16-805d-72c26b3391ca</t>
  </si>
  <si>
    <t>57064caf-7a0e-4c03-b974-e11786c9635d</t>
  </si>
  <si>
    <t>a172bf96-6add-4cee-8d5f-23cfe88b8fac</t>
  </si>
  <si>
    <t>bee2e18d-0467-4bb8-ac88-d93963b286ae</t>
  </si>
  <si>
    <t>Paul BERNARD</t>
  </si>
  <si>
    <t>053084fe-b2c1-4559-ae7e-f33f630f1f34</t>
  </si>
  <si>
    <t>6b44b029-7982-40e2-ba87-31a2ef05cab4</t>
  </si>
  <si>
    <t>d1ae0b25-98af-4219-9e64-8e02ab758c05</t>
  </si>
  <si>
    <t>9a7417f4-bf17-4602-81de-615d1249ff06</t>
  </si>
  <si>
    <t>2bc6c1e0-3178-4cd0-a81f-cd7f63620832</t>
  </si>
  <si>
    <t>72989a52-beb7-4937-9d13-4c6d7a8bba66</t>
  </si>
  <si>
    <t>7ee2ef63-1865-4728-be40-5b91931d3a79</t>
  </si>
  <si>
    <t>ab6051ba-7dbf-4dbe-b429-6fd0b11c87d8</t>
  </si>
  <si>
    <t>8615ad8c-8b1e-43a8-96db-cb51afa8529b</t>
  </si>
  <si>
    <t>42dcb609-5ffa-465f-a986-3d9065ba37c2</t>
  </si>
  <si>
    <t>b4f5a818-4847-4f9a-bfad-624f8ad3f4fa</t>
  </si>
  <si>
    <t>7b25b943-442c-4819-996a-148cd0849636</t>
  </si>
  <si>
    <t>e6fee699-dea6-45d1-af12-a84ba2601bc3</t>
  </si>
  <si>
    <t>9a281d5d-7a33-4028-86d6-58cda6f20779</t>
  </si>
  <si>
    <t>b5aa9c1c-acb7-40c3-a150-862b84490fa1</t>
  </si>
  <si>
    <t>03384b8e-c0aa-4215-9dd0-02febece5012</t>
  </si>
  <si>
    <t>327aca4d-8fce-47b0-b36c-e09d3a8cf4ed</t>
  </si>
  <si>
    <t>31e9772a-1c7e-4f75-bfc5-74418982277f</t>
  </si>
  <si>
    <t>Dr. Jan-Martin Hemke</t>
  </si>
  <si>
    <t>ab20bc2a-5862-4cfc-8721-daeeb04fd1f3</t>
  </si>
  <si>
    <t>e5ea1231-bd96-445d-9bf4-981c90039b05</t>
  </si>
  <si>
    <t>6d01ce8b-2d35-41f3-a125-85e2decbd4b8</t>
  </si>
  <si>
    <t>5bbe77bf-91c0-4b43-8a42-45fa8f939481</t>
  </si>
  <si>
    <t>61e03f93-4cf8-4840-9af9-c8b8a71431c5</t>
  </si>
  <si>
    <t>182b38bb-b15f-46ec-9c58-4b5dcb58b61a</t>
  </si>
  <si>
    <t>398f911a-5836-47f4-bdba-605426aa7c0f</t>
  </si>
  <si>
    <t>8f3b9ac0-5444-41a0-820c-cae68fb84e7b</t>
  </si>
  <si>
    <t>Palokangas Henri</t>
  </si>
  <si>
    <t>a295ce5f-70a2-4b0c-9f1b-dcb446dfd330</t>
  </si>
  <si>
    <t>2d7d98d0-fc01-41b7-bd77-f0458c6328c4</t>
  </si>
  <si>
    <t>f2aa3ff3-824b-40b8-aac8-3af699821ab2</t>
  </si>
  <si>
    <t>8516f668-cb1e-405f-b9af-fa308d64c2d5</t>
  </si>
  <si>
    <t>a8b1a129-3fdf-4e47-8dd4-a2075180c0eb</t>
  </si>
  <si>
    <t>41faa275-5733-4ff2-b3fb-a16dad8b9ef1</t>
  </si>
  <si>
    <t>0d123dc9-6647-4387-acf5-16e80f9ff8ca</t>
  </si>
  <si>
    <t>bd852719-067e-41db-8d15-82ab2140531c</t>
  </si>
  <si>
    <t>329471f8-f31f-4bb6-8902-aa343bab684e</t>
  </si>
  <si>
    <t>d3719c00-21ff-4cb8-a904-06ac0b0282d9</t>
  </si>
  <si>
    <t>Urte Urbonaviciute</t>
  </si>
  <si>
    <t>05fc05bd-f1f4-45af-b4aa-1612aaa6e099</t>
  </si>
  <si>
    <t>d3c878f6-9778-4629-8418-996f89b2ebe0</t>
  </si>
  <si>
    <t>d15b2050-e1af-494d-9249-d3e2a3cdc648</t>
  </si>
  <si>
    <t>2786ec1f-f2ea-4c03-9e05-f60177281dab</t>
  </si>
  <si>
    <t>4a4de1f7-8547-4106-80f2-47da7659f1c4</t>
  </si>
  <si>
    <t>b5ba0b3a-2a59-432b-88d9-6dacdf2d6ace</t>
  </si>
  <si>
    <t>fc864281-844f-420a-9458-b913c715a63c</t>
  </si>
  <si>
    <t>ee3f06c6-a1e4-4af5-a79b-11d801703381</t>
  </si>
  <si>
    <t>0e043e7a-bb6c-4f3f-9415-5fb5a5dd7c38</t>
  </si>
  <si>
    <t>d47277c9-7eb1-4d92-86bb-42a91dd42f03</t>
  </si>
  <si>
    <t>Safir Cetinkaya </t>
  </si>
  <si>
    <t>01cd2ebc-7a5c-4f79-9277-23cfa35e815e</t>
  </si>
  <si>
    <t>f8062df5-03a5-4469-b25b-8c0bfef4c292</t>
  </si>
  <si>
    <t>4e96378d-d649-4c4c-a9a0-e45369f46a5b</t>
  </si>
  <si>
    <t>b781baf1-9378-4227-a797-a071e1b67e4b</t>
  </si>
  <si>
    <t>712f7ade-0c47-46df-a1f9-09fce519725b</t>
  </si>
  <si>
    <t>dff6c7d2-f4aa-41ad-939f-7de8d4170663</t>
  </si>
  <si>
    <t>63fb2dd8-531c-4d6e-b0b8-e79b28276383</t>
  </si>
  <si>
    <t>13267598-c4f3-4cf9-b3f9-fb53e4e24bd9</t>
  </si>
  <si>
    <t>71de00c7-f97f-4ca6-892e-9d7347af4c4b</t>
  </si>
  <si>
    <t>e5b96d4a-3010-405a-8b77-4c90085fca1c</t>
  </si>
  <si>
    <t>c557f9a5-98d0-405d-897a-ad915e84295e</t>
  </si>
  <si>
    <t>61abe867-8efe-4788-955a-39cc75d35d10</t>
  </si>
  <si>
    <t>LUKA TRAVELLER</t>
  </si>
  <si>
    <t>c26c62a3-26db-497b-bc93-59395a60c8ed</t>
  </si>
  <si>
    <t>3bb948c8-546f-4f79-a176-09d5b3cb1adf</t>
  </si>
  <si>
    <t>cd6ae4e4-80ad-47bd-aec8-92a6c0c357a8</t>
  </si>
  <si>
    <t>017ce57d-0adb-4cc2-a1bb-034a25b4361c</t>
  </si>
  <si>
    <t>5776d145-8814-489d-a852-4a4a9d695f46</t>
  </si>
  <si>
    <t>e654899b-e5a9-48d1-acd5-6391b6828d84</t>
  </si>
  <si>
    <t>3482f336-d8f2-4d36-b11d-e1250df62d09</t>
  </si>
  <si>
    <t>ae01df5b-65d2-4027-825a-4132e84dfba4</t>
  </si>
  <si>
    <t>60d4df9d-0df4-40bc-9318-835e2fbc3726</t>
  </si>
  <si>
    <t>540d3f30-698a-4e34-b4da-937f70b70787</t>
  </si>
  <si>
    <t>4bec0ecd-7371-47af-ae79-6333eb7d6319</t>
  </si>
  <si>
    <t>c2a0df08-4b97-45ec-b7c8-9e76b9fd94d9</t>
  </si>
  <si>
    <t>ce4dcdb3-1d80-4e15-8d0e-297fe4e2b117</t>
  </si>
  <si>
    <t>4092caa2-3812-4393-bb38-0e140fcfd254</t>
  </si>
  <si>
    <t>b814a442-2caa-4145-a397-3c1d44ddcba8</t>
  </si>
  <si>
    <t>7188caa4-71ec-47ec-a82d-aa2574af0bae</t>
  </si>
  <si>
    <t>2e2bd9d2-c835-4e52-ab3c-da29094464b0</t>
  </si>
  <si>
    <t>629eace5-e5a7-49b8-981f-e4301434f0b4</t>
  </si>
  <si>
    <t>3f291c06-8e91-44a2-9beb-4c9a1548ea93</t>
  </si>
  <si>
    <t>8622e097-1391-4261-9f75-94890bf73cdf</t>
  </si>
  <si>
    <t>Claudia Seyfert</t>
  </si>
  <si>
    <t>1cf3c348-0537-4942-b322-05dd1dee474d</t>
  </si>
  <si>
    <t>5bed3c10-f5c8-4232-8e45-bffaf18ba404</t>
  </si>
  <si>
    <t>845f5f24-e668-4270-94b0-df464b5fd218</t>
  </si>
  <si>
    <t>7a7dfc8d-9734-4c61-ac42-78ebcb689519</t>
  </si>
  <si>
    <t>1aa581a7-4d17-43fc-b65a-d9ba2c4ce08a</t>
  </si>
  <si>
    <t>36dc5f9e-17e1-4dbd-96c8-766013f91110</t>
  </si>
  <si>
    <t>Massimo Del Giudice </t>
  </si>
  <si>
    <t>b38ec1ae-7a45-4db8-b984-b6fd297caaf9</t>
  </si>
  <si>
    <t>70cb085c-78e2-4d15-b371-0178066e4722</t>
  </si>
  <si>
    <t>dcb19f51-80ca-42ae-9180-49cbaaa4499b</t>
  </si>
  <si>
    <t>4d96fe7a-f14b-4270-8607-e6a03d9bed0a</t>
  </si>
  <si>
    <t>56af93c5-7a11-4442-884b-61983cd79816</t>
  </si>
  <si>
    <t>f24e33a9-4d59-47c3-b8b5-791ad9df0111</t>
  </si>
  <si>
    <t>e52c0ed5-d175-4559-af15-f6d5746d3fe9</t>
  </si>
  <si>
    <t>2241784f-a5cd-4663-990a-4735f284c662</t>
  </si>
  <si>
    <t>f099ae15-82d6-4733-b6d3-cef8bc78947b</t>
  </si>
  <si>
    <t>e897b18a-81fe-4b5c-9ab0-0a8793771abb</t>
  </si>
  <si>
    <t>e569162f-570f-40eb-8837-b821e2c7bcf5</t>
  </si>
  <si>
    <t>25abf681-117a-43db-94c9-f86fae5fc358</t>
  </si>
  <si>
    <t>3dd3b7fe-963d-4831-8694-1747ab8576eb</t>
  </si>
  <si>
    <t>aa645eaf-a964-4061-a612-1a13a0942861</t>
  </si>
  <si>
    <t>a26ae84c-cb9b-434b-b057-d8086509e593</t>
  </si>
  <si>
    <t>5018a49b-b6c0-4140-a56a-0574046a0bae</t>
  </si>
  <si>
    <t>86537717-0169-4c91-bca4-1377fb9f7c8b</t>
  </si>
  <si>
    <t>0cb76597-ae7a-4d74-8966-6f89111b5dde</t>
  </si>
  <si>
    <t>3ae636c7-cf67-40ec-ab0f-a487827cfa45</t>
  </si>
  <si>
    <t>baeb5241-7035-481a-98cd-72e0557653b1</t>
  </si>
  <si>
    <t>Amelie Beaudoin-Wilhelm</t>
  </si>
  <si>
    <t>a3b3ca01-d350-40ae-a511-1921749fadaf</t>
  </si>
  <si>
    <t>29c66efd-7b63-481c-856d-c65a74df3651</t>
  </si>
  <si>
    <t>542acaa5-62c6-460f-b24b-5f6bcf1d652b</t>
  </si>
  <si>
    <t>26de42dc-5b03-48e5-a53f-503d39b4459b</t>
  </si>
  <si>
    <t>d54aa9a7-f10e-406e-90f3-81247be87048</t>
  </si>
  <si>
    <t>50a72c4b-977c-4434-9d21-eb172f6f9204</t>
  </si>
  <si>
    <t>e4400320-61df-474b-a1a0-6116a673e169</t>
  </si>
  <si>
    <t>be921ab1-6598-469b-9ef8-ece3bcc46ac2</t>
  </si>
  <si>
    <t>Mylène Truong</t>
  </si>
  <si>
    <t>87cf721f-8185-4a44-9027-8a3ff4e09a01</t>
  </si>
  <si>
    <t>28c589bc-d511-4aa1-ae26-f4be42bfa136</t>
  </si>
  <si>
    <t>0deb9332-9f98-426f-91c8-5b0547c51390</t>
  </si>
  <si>
    <t>8ce2593d-562c-4a4e-a300-ab9ab2912a13</t>
  </si>
  <si>
    <t>e71b9af5-e70f-4101-b21d-9f032de8f711</t>
  </si>
  <si>
    <t>2967db22-9923-4e5e-bc07-ed863795bc7f</t>
  </si>
  <si>
    <t>Lucas Schlenker</t>
  </si>
  <si>
    <t>b6b4205d-6166-4735-ba88-7e5c4fa8f1b9</t>
  </si>
  <si>
    <t>544c9ef8-3b63-4877-94c7-b7519abd06e6</t>
  </si>
  <si>
    <t>d5b6957a-3c38-46a1-b22a-77fb5399fe2b</t>
  </si>
  <si>
    <t>6fa41631-dcff-4b24-b224-6b3cdf863901</t>
  </si>
  <si>
    <t>43ac1e6b-ba59-4d12-b99d-2c3de68e9c6f</t>
  </si>
  <si>
    <t>308da302-91b1-4170-aa0a-79505ce3e0e9</t>
  </si>
  <si>
    <t>Jasmine stomberg</t>
  </si>
  <si>
    <t>082da72c-2c8f-47dd-92c9-681b628e5390</t>
  </si>
  <si>
    <t>62478da1-ed05-4d71-a4f3-6ebf65a23136</t>
  </si>
  <si>
    <t>9070a499-d8b8-4b3f-a049-c558c40958db</t>
  </si>
  <si>
    <t>73d0b308-1c00-4238-83a1-80260e48e15f</t>
  </si>
  <si>
    <t>Wolfhard Stucke genannt Meinert</t>
  </si>
  <si>
    <t>4fa729e9-ca17-492f-819c-852527426293</t>
  </si>
  <si>
    <t>5b5f3c8c-be43-4e75-9216-48fa1ba70b9f</t>
  </si>
  <si>
    <t>28e9642c-6de7-4a6a-8ba0-35efb14c6caa</t>
  </si>
  <si>
    <t>91292a5a-b9d8-483f-9eac-428fdaa68de3</t>
  </si>
  <si>
    <t>caed2f9a-9983-4873-ac4e-f9887e0c281c</t>
  </si>
  <si>
    <t>e813420d-c893-460d-943a-934c65b8446f</t>
  </si>
  <si>
    <t>Lisa Fenninger </t>
  </si>
  <si>
    <t>ff844cf1-6693-407a-b6fb-42d3df794602</t>
  </si>
  <si>
    <t>04e24409-a4a4-4f0d-84c4-ace4a29216fb</t>
  </si>
  <si>
    <t>b95a1b83-5fa6-47fd-9db3-ee21857f7b15</t>
  </si>
  <si>
    <t>09d7856b-4f05-46d6-9a8a-052b841251d6</t>
  </si>
  <si>
    <t>3a5512d2-43aa-4f6c-9562-4f4417793dac</t>
  </si>
  <si>
    <t>4afaef54-1751-4c51-8cbe-db9cde5cb6a0</t>
  </si>
  <si>
    <t>de00df9d-c4e6-4d1e-b39d-f8a2c1a812c8</t>
  </si>
  <si>
    <t>8306c67e-ae94-48d4-97e1-bbaabd9c8ec1</t>
  </si>
  <si>
    <t>€10.26</t>
  </si>
  <si>
    <t>€0.75</t>
  </si>
  <si>
    <t>fb0ce4d1-ef29-43d7-8029-60e3d62f902e</t>
  </si>
  <si>
    <t>c63fbcd6-c2a3-40ca-a242-813686744f66</t>
  </si>
  <si>
    <t>20f6acfd-dde0-4dcd-80ae-f6aec5434020</t>
  </si>
  <si>
    <t>3e8edc17-1b8e-46de-8679-74fed610c89e</t>
  </si>
  <si>
    <t>86ef4459-ef79-4810-958a-6cf161588d98</t>
  </si>
  <si>
    <t>594482ae-5ace-4783-bd1f-789c687a6c68</t>
  </si>
  <si>
    <t>384879a6-2ae5-4097-8109-c3ff5fa5b914</t>
  </si>
  <si>
    <t>418a7be4-7c4a-4270-8384-351bbe1a28a0</t>
  </si>
  <si>
    <t>55e76468-06bd-4582-931d-522f486abaf8</t>
  </si>
  <si>
    <t>e96c72d1-9ce6-4aa7-a642-e2d3aed2dced</t>
  </si>
  <si>
    <t>236a6373-07ae-43ed-af2a-6510a41a8b76</t>
  </si>
  <si>
    <t>0dfec704-c086-43fe-951c-b8e659c75741</t>
  </si>
  <si>
    <t>6917414a-af0c-4233-98b5-c7b2d5baca72</t>
  </si>
  <si>
    <t>7ab47c46-b9cf-4941-8ec8-c2779f0a6f8f</t>
  </si>
  <si>
    <t>921c1e48-f35c-4b78-bf32-41e267afe387</t>
  </si>
  <si>
    <t>bab14a59-4677-400f-9f60-57b49542aedd</t>
  </si>
  <si>
    <t>f8c24a0e-0cc5-4ef9-a240-ddf62eea777b</t>
  </si>
  <si>
    <t>4b28c40a-3b91-4586-b803-82b40fb2a8bf</t>
  </si>
  <si>
    <t>1e96d510-d16f-4f5b-a49c-d8382a1d0491</t>
  </si>
  <si>
    <t>5beec0df-71ef-44e7-a83a-527311ecd739</t>
  </si>
  <si>
    <t>Louise Miniconi </t>
  </si>
  <si>
    <t>cbce605f-e09f-444e-9a8d-54f84acc55f7</t>
  </si>
  <si>
    <t>1db26282-d88c-4f49-b83d-d909b4cb9b21</t>
  </si>
  <si>
    <t>5137c91a-bd19-4c76-8a47-cd0f1e264a48</t>
  </si>
  <si>
    <t>3f37dd7d-0e2a-41f3-aca6-e55b3b972eb7</t>
  </si>
  <si>
    <t>b88acccf-11aa-4272-8f4e-048a04f10deb</t>
  </si>
  <si>
    <t>70a42b41-f366-41de-9c72-d588675d3dbd</t>
  </si>
  <si>
    <t>78aa95b8-8724-4f1e-a5d0-8005f94c379e</t>
  </si>
  <si>
    <t>370c9a4a-5db8-4863-a319-ec1ca2729925</t>
  </si>
  <si>
    <t>87353879-7516-46ac-b6ce-b820ef611e6d</t>
  </si>
  <si>
    <t>cf20bc00-3f57-4c01-a30f-c79df48a6765</t>
  </si>
  <si>
    <t>191c8233-976c-4f09-8727-ff00b2f51e5e</t>
  </si>
  <si>
    <t>8b206dac-2587-47ff-9d51-48709bac5a9a</t>
  </si>
  <si>
    <t>€3.09</t>
  </si>
  <si>
    <t>c7a59b99-468d-4029-ab53-a5d8e398470a</t>
  </si>
  <si>
    <t>6cde70a3-afb4-417a-ae98-43f4f73261c6</t>
  </si>
  <si>
    <t>8452b75a-3055-4a98-aa00-bd706f4e9a0f</t>
  </si>
  <si>
    <t>5b37d2f7-13d3-4ff5-b38f-10b491f8fa20</t>
  </si>
  <si>
    <t>f20a6fb5-0da3-41bd-bee8-7255b984587c</t>
  </si>
  <si>
    <t>b403688e-04c1-4500-9a5e-296f43a44987</t>
  </si>
  <si>
    <t>Alice Durrett</t>
  </si>
  <si>
    <t>28b5f26a-1e5b-4c7a-99c4-41d68a0f904e</t>
  </si>
  <si>
    <t>ab773833-70c7-4109-a469-bd4b77ca097d</t>
  </si>
  <si>
    <t>4fd146fb-bf0e-41cc-8b47-0dbfc3bfc907</t>
  </si>
  <si>
    <t>02082ee9-0714-41fd-ab28-78c7d944a163</t>
  </si>
  <si>
    <t>893076cd-19de-4282-a7fc-8010856902dc</t>
  </si>
  <si>
    <t>3eb85cf2-9f00-49e7-96ba-8e50b7c52139</t>
  </si>
  <si>
    <t>3d75a461-55dc-44e0-8000-fbf161d3460a</t>
  </si>
  <si>
    <t>c000478a-1c06-40ea-b125-50004e5cf45c</t>
  </si>
  <si>
    <t>dfa1ebe7-ad5f-44ce-8cc2-b124a4fde915</t>
  </si>
  <si>
    <t>9a7e9d0a-f9cc-4b5a-afa1-131db47f5013</t>
  </si>
  <si>
    <t>Weronika Chimiuk</t>
  </si>
  <si>
    <t>badf0abb-0c2c-40f6-877e-5dc70f4e6a4a</t>
  </si>
  <si>
    <t>cc8fe068-0557-4b32-92e8-b27dfe45b565</t>
  </si>
  <si>
    <t>8cd8af41-e87d-43e2-841e-4fc81cb5732d</t>
  </si>
  <si>
    <t>6acc0104-2ba3-48f8-a7f8-38c6d3511cfa</t>
  </si>
  <si>
    <t>427c9868-6037-45eb-886d-51e0f47d90a6</t>
  </si>
  <si>
    <t>433055e9-c16d-414b-a917-cf7a6b15c610</t>
  </si>
  <si>
    <t>6f4dc841-2f15-4a03-9d71-98aa2deb6adf</t>
  </si>
  <si>
    <t>18dd2da6-87e1-4e8a-b4d8-483d9108eef7</t>
  </si>
  <si>
    <t>953a548f-9a4f-4225-97f8-bfd97994eb75</t>
  </si>
  <si>
    <t>37ae4573-b736-4c47-a7e3-6fff293c07fa</t>
  </si>
  <si>
    <t>32944215-af68-4deb-91c2-855940dcfcb4</t>
  </si>
  <si>
    <t>4a7f8288-e6c2-4362-bde5-4a6d1043d53c</t>
  </si>
  <si>
    <t>23e46d4c-0398-4f9c-b4b3-42d227a2885c</t>
  </si>
  <si>
    <t>bb37f800-2ecf-4986-bf98-384f43deeab2</t>
  </si>
  <si>
    <t>a0a09088-24f3-4bde-aa59-ef495979bd46</t>
  </si>
  <si>
    <t>66957a2e-fc17-434f-a5e0-4c9803d2eb3d</t>
  </si>
  <si>
    <t>76430b8c-ec79-44fb-aaa4-fab9a105659f</t>
  </si>
  <si>
    <t>a60e1c27-bf47-4749-9822-dadf84a2c7eb</t>
  </si>
  <si>
    <t>eb37dfb2-6d77-4fb2-9309-7c1fab9c1175</t>
  </si>
  <si>
    <t>9695e2fc-f2d5-445f-9f3e-03c8e52d5340</t>
  </si>
  <si>
    <t>b38b33e8-e851-4f11-b4b0-18128fbadb90</t>
  </si>
  <si>
    <t>3cba8e2a-5189-4e8e-be75-5fafd6be68af</t>
  </si>
  <si>
    <t>b44b153a-28dc-4f60-b968-a1d8eb914b10</t>
  </si>
  <si>
    <t>751cf909-d01e-430c-842b-b952ab67e567</t>
  </si>
  <si>
    <t>Julia Sánchez Pedraza</t>
  </si>
  <si>
    <t>13a0539f-0789-4e2c-8839-061ab67fe74d</t>
  </si>
  <si>
    <t>f90da670-80d3-46a1-9ade-90b6a04b0f4a</t>
  </si>
  <si>
    <t>f4c2221c-ed22-4632-9623-faf17ef49c82</t>
  </si>
  <si>
    <t>189b0a1d-b855-4971-985e-c41c6f8ef9ab</t>
  </si>
  <si>
    <t>e2030f0f-977f-4773-9873-534b5c27d4e9</t>
  </si>
  <si>
    <t>9e2c8c1f-997d-406d-90f1-6be8002b5e90</t>
  </si>
  <si>
    <t>Henrik Folkvord</t>
  </si>
  <si>
    <t>ff4bae57-d882-4bad-8b92-0206d5d19322</t>
  </si>
  <si>
    <t>697e979e-1210-4cd6-9cb2-133615bbe7a2</t>
  </si>
  <si>
    <t>Lucas Hubert Lehmann </t>
  </si>
  <si>
    <t>836ce5fd-ea68-4723-bc1e-7cc08a1bff8e</t>
  </si>
  <si>
    <t>f14027e3-0d16-44d0-985d-04d5a54d85e3</t>
  </si>
  <si>
    <t>fb6dfe06-cb9c-44b4-ad3a-d9c66bc4cb92</t>
  </si>
  <si>
    <t>3bdf9463-760b-4839-bdcb-0714ef81ce8a</t>
  </si>
  <si>
    <t>d5643bac-cab7-4294-8239-ae221decd155</t>
  </si>
  <si>
    <t>c9eb27b4-9f1d-4c0d-bc84-5bdc2c325e99</t>
  </si>
  <si>
    <t>15b31784-858f-4aa5-9837-cc083ea628de</t>
  </si>
  <si>
    <t>8db343b4-b6f8-4598-9acd-d8b1e565e214</t>
  </si>
  <si>
    <t>3ff1182b-66ec-44d4-9375-3b7bc058cf3d</t>
  </si>
  <si>
    <t>8835b95e-3b5d-4207-9502-6a173d30d2dc</t>
  </si>
  <si>
    <t>b37e1fce-c815-4556-8079-90dbf2b07dd5</t>
  </si>
  <si>
    <t>b90d8949-8d16-4c06-a154-905b9a0956c2</t>
  </si>
  <si>
    <t>68759990-6b41-4332-88e9-88d671a0306e</t>
  </si>
  <si>
    <t>b8da7af6-d9aa-4f0d-8a0c-3bacedb48135</t>
  </si>
  <si>
    <t>a08cda34-6242-478e-acbb-7f0cd5cc6041</t>
  </si>
  <si>
    <t>6a3b0085-4748-4e4d-8dd5-a9e54b937fc4</t>
  </si>
  <si>
    <t>ebbab9a2-ab68-4080-b17e-aa5d98a074bc</t>
  </si>
  <si>
    <t>5e3fa1f0-d7e6-4fff-ac3c-642c6f2d8f4f</t>
  </si>
  <si>
    <t>Freiin Anna-Lena von Hoyenberg</t>
  </si>
  <si>
    <t>cf76270c-90f6-4c30-97d5-8db5e5147d6c</t>
  </si>
  <si>
    <t>78dcb2bf-b4b4-4785-8225-f821da9d0b77</t>
  </si>
  <si>
    <t>408f7a96-0f85-4469-9693-d26b5cd8cffe</t>
  </si>
  <si>
    <t>ac3cfb9c-a4e6-45ec-9d78-30b2f556ac7c</t>
  </si>
  <si>
    <t>David Kuempers</t>
  </si>
  <si>
    <t>2840067e-02a9-41bb-94a0-bdb4e782f5cc</t>
  </si>
  <si>
    <t>ea99d0bd-90ba-4b9c-9a33-eb4018c37ede</t>
  </si>
  <si>
    <t>2702f245-0db2-49f6-8218-ad25a01120d8</t>
  </si>
  <si>
    <t>9f7b8104-0e93-42c6-ab33-6b7278a88e72</t>
  </si>
  <si>
    <t>0f02211b-a961-4f80-8c65-ccec71576f8e</t>
  </si>
  <si>
    <t>c0f16344-4531-4e68-80bd-7057953f8f01</t>
  </si>
  <si>
    <t>2a63351c-6c7a-4042-8c76-ae11005e1cc3</t>
  </si>
  <si>
    <t>74f47f91-c45a-41f0-9727-9e75c085a9dc</t>
  </si>
  <si>
    <t>62e48f03-677e-4f88-b402-b0c6258c737b</t>
  </si>
  <si>
    <t>e8831f88-3ba1-45ad-9841-070cf7526f10</t>
  </si>
  <si>
    <t>88b7da30-6541-4f14-a8ec-86134fd09b45</t>
  </si>
  <si>
    <t>5096e58f-da71-4973-beb5-ffef562e4e1b</t>
  </si>
  <si>
    <t>146e005e-d57b-4f6e-a6bd-b313b7e01160</t>
  </si>
  <si>
    <t>275beb85-346b-48c2-a20a-a8f0261b8468</t>
  </si>
  <si>
    <t>6b751aa8-d088-4b88-97b2-dd8c1cfd5a04</t>
  </si>
  <si>
    <t>23769397-5b7a-4eff-ba7f-ef1085496348</t>
  </si>
  <si>
    <t>JOHANNA MARIE WINDBICHLER</t>
  </si>
  <si>
    <t>83656f43-31ae-4232-907c-a6eb83448077</t>
  </si>
  <si>
    <t>937d4248-0224-40a3-831f-95d9b76ad0e4</t>
  </si>
  <si>
    <t>70a04bf9-05cb-451e-9023-c4406b8bdd3b</t>
  </si>
  <si>
    <t>bb4e3322-3653-4864-bee7-4294cf2662c8</t>
  </si>
  <si>
    <t>e6a4d20b-2680-4dd2-b011-fb6404efce9e</t>
  </si>
  <si>
    <t>77cd1b67-b9b4-4953-b176-f87d6ee5d7cc</t>
  </si>
  <si>
    <t>MARION AMBRE PINAUD</t>
  </si>
  <si>
    <t>ed4bb279-aa37-48b6-8f2e-124b9e352598</t>
  </si>
  <si>
    <t>2f6a7a29-093c-4d6d-8d26-9f0635dd1611</t>
  </si>
  <si>
    <t>0ca422be-e5ce-468a-9c4b-84a7f254d527</t>
  </si>
  <si>
    <t>ffd37764-c0de-4b2c-bf06-1d631a92f24c</t>
  </si>
  <si>
    <t>2010d280-9713-4861-90f2-41491ddfc534</t>
  </si>
  <si>
    <t>3314bd65-b897-419c-b3fa-bc3d3a4119bb</t>
  </si>
  <si>
    <t>a1e04d90-ac31-41d0-b098-f78cd9bbd128</t>
  </si>
  <si>
    <t>3463efba-0291-480d-8622-93cdff2c28dd</t>
  </si>
  <si>
    <t>vabistsevits arina</t>
  </si>
  <si>
    <t>4ea1ca1c-4813-4dab-876c-fe41a31d69d8</t>
  </si>
  <si>
    <t>05797984-d191-41b8-842c-82c7a0dfc248</t>
  </si>
  <si>
    <t>4007d310-7e8f-466d-9883-9a8ba300eb6f</t>
  </si>
  <si>
    <t>5d2e564c-8a27-4437-a5c9-8ed3c6b63840</t>
  </si>
  <si>
    <t>fd05799a-2d8e-4263-94f5-88a51c0d407f</t>
  </si>
  <si>
    <t>a2fc6f90-7c68-43c3-a1db-2c1e7c451489</t>
  </si>
  <si>
    <t>1beaf152-852a-4ee6-bafa-bbaf403adf27</t>
  </si>
  <si>
    <t>aaf02696-7354-4856-83b3-e175dc4082a2</t>
  </si>
  <si>
    <t>0cc1710e-6b50-4dd7-83dc-e3206206726a</t>
  </si>
  <si>
    <t>e79cf4b2-d505-4187-b2e0-484210194633</t>
  </si>
  <si>
    <t>Greta Vec</t>
  </si>
  <si>
    <t>375b5a00-b65a-477f-8e45-36610bf895b0</t>
  </si>
  <si>
    <t>310c301b-28e0-47e2-b890-d396ccda2d0c</t>
  </si>
  <si>
    <t>Emmi Kaarina Legat</t>
  </si>
  <si>
    <t>7811b571-f5f2-4fcf-8624-a6acce1231df</t>
  </si>
  <si>
    <t>645b3af8-7842-4b59-a450-52e2de0c4f2d</t>
  </si>
  <si>
    <t>03ddde5d-4324-48d2-8fd4-f4ca2d766da0</t>
  </si>
  <si>
    <t>cff671e2-5fc7-4a8a-8446-048acf32ab7d</t>
  </si>
  <si>
    <t>92e270b5-f09b-4d70-9b8c-d6f9ce1e009c</t>
  </si>
  <si>
    <t>c3e083da-c2b3-47dc-8b2a-eb4afda386c6</t>
  </si>
  <si>
    <t>1dc68fa7-9e9e-471c-9bcb-0ac96bfd291e</t>
  </si>
  <si>
    <t>5061f144-620f-42f2-ab7c-ee2095c046a9</t>
  </si>
  <si>
    <t>cf79e67d-b0e7-408f-85b3-cdee0c88dc09</t>
  </si>
  <si>
    <t>d10c2241-c6cc-42c2-b0c9-366b2d587d81</t>
  </si>
  <si>
    <t>9ea22f0f-67f9-4d2b-9661-8fe94a9bcd57</t>
  </si>
  <si>
    <t>d21d976b-3880-413c-a340-7c32976348fa</t>
  </si>
  <si>
    <t>f02b5b43-082e-4791-8253-45b06e117b2f</t>
  </si>
  <si>
    <t>a94fcce6-c2d9-40d0-86ff-21f791e3a3bf</t>
  </si>
  <si>
    <t>Sayra Emilia Emir</t>
  </si>
  <si>
    <t>83047cb6-056f-4cdb-987b-21bc809910cf</t>
  </si>
  <si>
    <t>86050133-46d6-47ea-a605-05d6ac0ad405</t>
  </si>
  <si>
    <t>73a0881b-8955-497a-a732-b204047aabd1</t>
  </si>
  <si>
    <t>0654f4a0-7a2d-4e26-b946-f92931bd1790</t>
  </si>
  <si>
    <t>MISS A M EASTAUGH-WARING</t>
  </si>
  <si>
    <t>25b263fb-d804-47e8-84a8-0945f3b8a853</t>
  </si>
  <si>
    <t>c7be3d9a-ad8a-4c96-8430-f061ced074c4</t>
  </si>
  <si>
    <t>d0f9a37e-4bc5-41b6-8287-ec21943f91d4</t>
  </si>
  <si>
    <t>fe089bd6-7a6e-42cf-8e3d-5ae01092f930</t>
  </si>
  <si>
    <t>1eb36765-3547-4666-b646-18c2f1bb3869</t>
  </si>
  <si>
    <t>54808526-234b-4c84-a346-bd6f715c0eb1</t>
  </si>
  <si>
    <t>be2d34a6-abe5-4ca8-afe0-08c2b083b884</t>
  </si>
  <si>
    <t>a47b5981-a8e2-4698-9550-8bcd8627388d</t>
  </si>
  <si>
    <t>bfb669eb-c20d-42d4-a788-31a2d2b891ac</t>
  </si>
  <si>
    <t>79f32284-0cec-4072-afec-0026eb2e25e6</t>
  </si>
  <si>
    <t>Lilly Winkler</t>
  </si>
  <si>
    <t>091fbf76-1d62-4b92-8e7e-59c3b814baeb</t>
  </si>
  <si>
    <t>d8411e31-4751-4d28-9e14-98be36394bea</t>
  </si>
  <si>
    <t>fcfed4b3-0aa1-4344-aba9-f0e84e398938</t>
  </si>
  <si>
    <t>beaf3067-79a9-4d6a-8df6-47ff3d9352af</t>
  </si>
  <si>
    <t>23648d1f-26d2-4fd5-a059-803a92bf29f4</t>
  </si>
  <si>
    <t>d253ef0b-33dc-4f83-a209-025eab9cb30c</t>
  </si>
  <si>
    <t>d84348bb-bb0c-4be7-9cdd-be5d795de41a</t>
  </si>
  <si>
    <t>b8cfefd5-8889-4c8b-8349-c0d6a54e1c30</t>
  </si>
  <si>
    <t>€0.81</t>
  </si>
  <si>
    <t>0a39dc24-9c66-4073-8fe5-e2a2ed67a379</t>
  </si>
  <si>
    <t>a64a5704-2226-42f1-9d75-b9b38c1a06b4</t>
  </si>
  <si>
    <t>41fa7401-cb3a-457a-ac49-f0a580ce0c53</t>
  </si>
  <si>
    <t>7ae7c530-b13d-41eb-9e72-f02f8a07f549</t>
  </si>
  <si>
    <t>abd22d46-ca9b-4f0f-a38b-bc31bda1f46b</t>
  </si>
  <si>
    <t>44e2df8c-57a1-41be-9fa3-c83c06056317</t>
  </si>
  <si>
    <t>7b50ace3-db72-43dd-bcb0-4de781aa3549</t>
  </si>
  <si>
    <t>485f87e6-e2fb-4b0b-87b2-339ad9327c51</t>
  </si>
  <si>
    <t>cb1bc8df-6db2-4217-b2ca-0eb25087bdc7</t>
  </si>
  <si>
    <t>752955b4-ac27-49d9-987f-7ae250c1db32</t>
  </si>
  <si>
    <t>081a3403-f8ef-4878-944f-a0a32775467a</t>
  </si>
  <si>
    <t>c1e591d2-0e4e-4a1a-9fee-ab03efdce820</t>
  </si>
  <si>
    <t>908bc87c-f28e-497b-97c3-2f2809899d34</t>
  </si>
  <si>
    <t>abdfceed-d0ca-4f31-bc96-1a6a4683850c</t>
  </si>
  <si>
    <t>409d9e6d-d013-43bb-9dce-3e097169b7a9</t>
  </si>
  <si>
    <t>fbdbff75-fd35-4af3-86e9-75b9de0d86ad</t>
  </si>
  <si>
    <t>f6a8c4f8-4056-44d2-b2ba-1c8321ab7221</t>
  </si>
  <si>
    <t>0605e55a-df87-4fec-8775-e27618a01de0</t>
  </si>
  <si>
    <t>da1516cb-311f-40be-a587-1510dc6aae8b</t>
  </si>
  <si>
    <t>5662e125-f20f-4e08-b2dd-9b699b2a1846</t>
  </si>
  <si>
    <t>7a972804-d875-4492-a2ae-5d55123a7f74</t>
  </si>
  <si>
    <t>31cb0274-2692-46b8-870e-87843954f265</t>
  </si>
  <si>
    <t>af18fa84-d153-4927-929c-96505381e993</t>
  </si>
  <si>
    <t>115dcbaf-afab-48f2-a112-9c367ec7c746</t>
  </si>
  <si>
    <t>64e3318b-edd8-4401-b756-31978a6bc024</t>
  </si>
  <si>
    <t>e2df88dd-796c-407c-8b4d-27f48aaae5e8</t>
  </si>
  <si>
    <t>99ebc1f0-7909-4ba1-9dd8-cf0235c66750</t>
  </si>
  <si>
    <t>28171850-1837-4686-995a-5bec09098001</t>
  </si>
  <si>
    <t>54c38b1b-93b2-48a5-b33c-bbf2c9131d82</t>
  </si>
  <si>
    <t>a22e5d24-b073-43e1-9973-59b1b9c22a35</t>
  </si>
  <si>
    <t>584006d6-be56-4b71-893e-144105821440</t>
  </si>
  <si>
    <t>e1d1a224-4484-4b9c-b1a0-b23e6f7cfd85</t>
  </si>
  <si>
    <t>ea92db07-0a2f-408d-90b8-009aab003247</t>
  </si>
  <si>
    <t>9517a549-d124-43e3-900c-f359d2bf5e3b</t>
  </si>
  <si>
    <t>3dee2e34-8ba8-4c52-9194-0f6ac9357a1d</t>
  </si>
  <si>
    <t>c47f4d82-d969-440e-a0f9-145c52e702f0</t>
  </si>
  <si>
    <t>471f3789-bf23-4249-88cd-4511ab7851da</t>
  </si>
  <si>
    <t>0a51724f-415d-4679-b66a-972a78460fe4</t>
  </si>
  <si>
    <t>cb567956-cf38-4ae3-8b65-666ad47ada88</t>
  </si>
  <si>
    <t>bfd23699-2bf7-4f08-af83-716ee3bd5fe4</t>
  </si>
  <si>
    <t>c6e35e82-5bda-470f-b25f-a84d539a6e71</t>
  </si>
  <si>
    <t>69ad12a9-7fbc-413e-8c2d-632d2ec3ea63</t>
  </si>
  <si>
    <t>2c434d4e-5cd8-4236-8b9f-87b511b2c37c</t>
  </si>
  <si>
    <t>971c5c6b-87db-43c4-859f-fd3a11ad58d7</t>
  </si>
  <si>
    <t>7cf8464a-4e0b-422d-8d82-cf6c0d36468d</t>
  </si>
  <si>
    <t>36aa0e8e-5448-48ba-baeb-bac0f7b5d911</t>
  </si>
  <si>
    <t>53d8b956-2b62-4845-aa6d-cf30f72c8389</t>
  </si>
  <si>
    <t>e44dc9de-2dc1-4329-8f2e-77eca2c34903</t>
  </si>
  <si>
    <t>c0808041-1682-4f6b-be0b-2c7b9244abe7</t>
  </si>
  <si>
    <t>f946d40d-b7f3-4c81-8dbd-c0aa56e1a9a5</t>
  </si>
  <si>
    <t>d7d5dd2e-6e09-4c05-a04c-8dd0c9f320d0</t>
  </si>
  <si>
    <t>fd89d8b0-7b48-4096-a662-ae9a8459d243</t>
  </si>
  <si>
    <t>98694201-f25f-4965-847b-a4921a93f0a5</t>
  </si>
  <si>
    <t>99b1f593-94b4-404f-a13f-8fa3e4b6b4a2</t>
  </si>
  <si>
    <t>ebdd95b9-7731-468e-adfd-56f758ff2751</t>
  </si>
  <si>
    <t>9dd0b58b-65bc-4a04-b140-6d6d40790d7c</t>
  </si>
  <si>
    <t>d207c82a-8a01-49cf-82e2-6fe4a05ac711</t>
  </si>
  <si>
    <t>d289b416-26b5-4d7e-bc7c-5b08291a526f</t>
  </si>
  <si>
    <t>1942105b-cf1f-46e9-a7a6-fa6b52fe4d26</t>
  </si>
  <si>
    <t>50436937-317a-4703-89b4-1dc8dd8d4924</t>
  </si>
  <si>
    <t>49f32f5e-1e70-4d1c-a491-4da9ce3bc1ed</t>
  </si>
  <si>
    <t>35fc7e19-280a-4354-890a-e1c4a6e12f72</t>
  </si>
  <si>
    <t>917f97d4-429b-4610-9206-f960bfd8f89e</t>
  </si>
  <si>
    <t>f6ac2240-2304-404b-9622-f113b8bd0619</t>
  </si>
  <si>
    <t>0f7f6cca-3633-49db-bb12-12d89e3ab9de</t>
  </si>
  <si>
    <t>7db0a0c9-b40a-4e9f-880e-2e1c6ab3b52d</t>
  </si>
  <si>
    <t>ff1a5f29-b757-4aef-a4ae-1f9f1e72047d</t>
  </si>
  <si>
    <t>148a93e9-a608-498c-a3ba-3346b5fe9e4d</t>
  </si>
  <si>
    <t>2e2d89c6-e390-4569-a842-24ccb8a3c1ef</t>
  </si>
  <si>
    <t>ec8908c7-5f61-453f-a583-d487e72cbf2a</t>
  </si>
  <si>
    <t>e95a56eb-5dd9-46dd-99d5-8f301c32c61e</t>
  </si>
  <si>
    <t>067cab04-f6c8-4160-9116-02ea0e4b1fe1</t>
  </si>
  <si>
    <t>a54b780b-f730-46cc-89db-ca5ed046f233</t>
  </si>
  <si>
    <t>6f040379-6fab-4fec-a86e-eb307972b848</t>
  </si>
  <si>
    <t>028f926e-caae-4a6a-a88c-0205a4a00beb</t>
  </si>
  <si>
    <t>ee65dbc3-cc3d-4701-b6fe-0ca3047b0121</t>
  </si>
  <si>
    <t>Antoni Narozny</t>
  </si>
  <si>
    <t>1cd14c9a-a318-4e9f-ac96-b5a91f5f3f80</t>
  </si>
  <si>
    <t>28c29044-1e30-47b7-939d-e800301b81ca</t>
  </si>
  <si>
    <t>Jasmin Hirvelae</t>
  </si>
  <si>
    <t>daa73b20-7361-41a4-99c9-46f8599e861f</t>
  </si>
  <si>
    <t>3e79431c-074a-4cfc-a203-d06920bfe97c</t>
  </si>
  <si>
    <t>CLARISSE VOUTE</t>
  </si>
  <si>
    <t>a4eb6b02-9d96-4a83-9c04-9fed18779042</t>
  </si>
  <si>
    <t>184bf14f-92e6-4b52-9b4b-99ed6008d280</t>
  </si>
  <si>
    <t>53e901e5-2d14-4230-9c05-17b90b436542</t>
  </si>
  <si>
    <t>f35eac17-787a-40b6-8e7b-b2598068ef54</t>
  </si>
  <si>
    <t>Anton Lyubimov</t>
  </si>
  <si>
    <t>1bc9b418-728d-4c51-8e6c-6c8c44c7838b</t>
  </si>
  <si>
    <t>16e9fa14-f25e-444e-960b-caf8a8f25121</t>
  </si>
  <si>
    <t>df0da81a-005a-4d4f-8fef-916a0f31f6df</t>
  </si>
  <si>
    <t>07fd11ab-16d8-4afa-af93-35060d465751</t>
  </si>
  <si>
    <t>Jehan Bascher</t>
  </si>
  <si>
    <t>ebd2923c-c6a4-43b5-a46d-990910bc1b16</t>
  </si>
  <si>
    <t>a1f6781d-d2fc-414f-83da-b40a7f326495</t>
  </si>
  <si>
    <t>cb78e215-7291-4d4f-b470-2219e2562615</t>
  </si>
  <si>
    <t>f38a7b93-04cc-4544-83a0-6707a6def755</t>
  </si>
  <si>
    <t>Floor Pen </t>
  </si>
  <si>
    <t>d58c15d7-236c-446e-8da6-361bc14cee72</t>
  </si>
  <si>
    <t>5bb1dab3-a9b1-4647-9a0d-9dbf323690e1</t>
  </si>
  <si>
    <t>Karla Skinner Styzei</t>
  </si>
  <si>
    <t>26aeb5fe-6081-46c0-b7b8-46324fc29201</t>
  </si>
  <si>
    <t>5857e311-1e95-4761-8b76-3bc9d020b632</t>
  </si>
  <si>
    <t>ebaad53f-91ad-448b-8116-eb5290e1b697</t>
  </si>
  <si>
    <t>a807f419-417e-4488-975b-4d38fff833cf</t>
  </si>
  <si>
    <t>dc23e810-cebd-40b6-9dba-90c25e3d001b</t>
  </si>
  <si>
    <t>7a716a2f-8429-454a-b083-090faa8309b9</t>
  </si>
  <si>
    <t>c5735e6b-d546-4fc9-84ab-9289bee61a47</t>
  </si>
  <si>
    <t>dc53a820-4acf-4dff-85a6-c84e78219ced</t>
  </si>
  <si>
    <t>Carmen Pickhardt</t>
  </si>
  <si>
    <t>61758fb1-a102-46aa-be5c-2c735568a841</t>
  </si>
  <si>
    <t>628ba121-4447-4fd0-ba55-3bd177bb7833</t>
  </si>
  <si>
    <t>Ester HORTET TARROJA</t>
  </si>
  <si>
    <t>952f9557-db71-4955-bfa3-1fa793893a1d</t>
  </si>
  <si>
    <t>17acaa92-74e5-40d0-b564-3c79af68362d</t>
  </si>
  <si>
    <t>00183bc0-db84-40bb-a223-66e63895bf14</t>
  </si>
  <si>
    <t>8e379a43-c4cb-4a34-bf9a-4ed89a9de493</t>
  </si>
  <si>
    <t>eb150e52-8681-438c-bb99-f800ff3adc9b</t>
  </si>
  <si>
    <t>7bce8dcb-3c92-4917-aa63-94b3edc9e7bd</t>
  </si>
  <si>
    <t>a533d1d4-2705-48b9-9622-98bdec6d7210</t>
  </si>
  <si>
    <t>5f7a91fd-694d-4b86-8b8c-9951d2e26da7</t>
  </si>
  <si>
    <t>C MARTINO PAREDES</t>
  </si>
  <si>
    <t>03214ce2-235e-4cbd-b835-02f5dc0d02f1</t>
  </si>
  <si>
    <t>87676365-1316-4e95-bb91-cb0d81c35dee</t>
  </si>
  <si>
    <t>f9aadee9-c7ff-418f-8e6a-886e13ba40e4</t>
  </si>
  <si>
    <t>9fd8bf84-bbe9-452a-878c-8c9abe3aff85</t>
  </si>
  <si>
    <t>Christina Oster-Daum</t>
  </si>
  <si>
    <t>914ec4de-f61d-4f06-bf8a-71ce78821ad7</t>
  </si>
  <si>
    <t>01a37176-0cf3-4a35-8e19-f0a0baf990bc</t>
  </si>
  <si>
    <t>Charlotte C Muller</t>
  </si>
  <si>
    <t>c6c52284-bf63-4035-9c70-704670bfd49c</t>
  </si>
  <si>
    <t>b0177572-05af-4ec2-b747-68439877f583</t>
  </si>
  <si>
    <t>Simon Omaník</t>
  </si>
  <si>
    <t>6ba492cd-c824-414e-a488-7a7d217f9c70</t>
  </si>
  <si>
    <t>4600d53e-7d16-4ea4-8310-f0eb799ce124</t>
  </si>
  <si>
    <t>f9d1cea6-cc2b-4790-bd38-9c33472c4ede</t>
  </si>
  <si>
    <t>82608853-fb8c-4fc3-8087-0de2bd896f6c</t>
  </si>
  <si>
    <t>bcb8cac9-935b-4b30-b99c-5389e04c8d0b</t>
  </si>
  <si>
    <t>dd902751-61e7-4d8c-89cd-93737bfdff3c</t>
  </si>
  <si>
    <t>c7f654f9-5f12-425e-af37-594164880488</t>
  </si>
  <si>
    <t>453f1201-da66-4690-8f05-52f4e651cc02</t>
  </si>
  <si>
    <t>ELISA HASPER</t>
  </si>
  <si>
    <t>376fe1f4-784c-4c87-a04d-11b64b4abe6e</t>
  </si>
  <si>
    <t>ee525586-9abb-4429-b492-affdd4148b71</t>
  </si>
  <si>
    <t>bacbe48a-a628-4d6d-bde5-03127ba5e322</t>
  </si>
  <si>
    <t>807fb1e3-cbb6-4638-9a1e-6d6fcfd5dc78</t>
  </si>
  <si>
    <t>26077f2d-291e-4976-bad8-29ba976c744f</t>
  </si>
  <si>
    <t>9834a59e-83d8-409b-b321-8dfc894f37bd</t>
  </si>
  <si>
    <t>Chantal BUBLOT</t>
  </si>
  <si>
    <t>1cebbe75-3f9b-41c2-b42c-454474597440</t>
  </si>
  <si>
    <t>be7bc64d-93db-4824-908f-08e5694280bb</t>
  </si>
  <si>
    <t>Isabel Nicoline Geertman </t>
  </si>
  <si>
    <t>0a92d493-d8f4-4fd5-bb16-24af7386a0f4</t>
  </si>
  <si>
    <t>e6896e9c-f271-45bb-a775-5d1b76acae05</t>
  </si>
  <si>
    <t>N.Janssen</t>
  </si>
  <si>
    <t>67d2cee5-f219-48c2-8a2f-89cec29be693</t>
  </si>
  <si>
    <t>e0800bcf-70f3-4efa-a764-2d9036d4bc2e</t>
  </si>
  <si>
    <t>1f361683-c186-4635-9f20-d613a0d69b0c</t>
  </si>
  <si>
    <t>01dee8b5-fd50-47e0-807a-da58ca134b9c</t>
  </si>
  <si>
    <t>d06c33a8-57aa-462d-b8a1-0ceefcd8c467</t>
  </si>
  <si>
    <t>de9b97ce-0934-4b10-b276-283a16b3e70e</t>
  </si>
  <si>
    <t>Lyla Sangtani</t>
  </si>
  <si>
    <t>d6c09127-8cae-430a-a266-b7a359aaa4dc</t>
  </si>
  <si>
    <t>91f9e3c8-6521-482a-b06f-ecdeb5e5b13d</t>
  </si>
  <si>
    <t>484cfb70-3177-4646-b789-de9d6822299a</t>
  </si>
  <si>
    <t>ba7ad955-88d7-459d-ad7b-fdb4e5ed31a9</t>
  </si>
  <si>
    <t>051fb5ed-1d5c-463c-a462-b84eb424af06</t>
  </si>
  <si>
    <t>4dc4d54b-c84a-4b56-a220-743da85d029c</t>
  </si>
  <si>
    <t>Sylvain Bournigault</t>
  </si>
  <si>
    <t>06e4dfc6-a740-4848-b974-fa147a9f50c0</t>
  </si>
  <si>
    <t>9bc766f6-734e-41bf-a711-d386bac04391</t>
  </si>
  <si>
    <t>Refund</t>
  </si>
  <si>
    <t>-€56.38</t>
  </si>
  <si>
    <t>-€1.38</t>
  </si>
  <si>
    <t>-€55.00</t>
  </si>
  <si>
    <t>e830d111-ce24-48ef-a5d2-be3712c81aa7</t>
  </si>
  <si>
    <t>518cd809-8477-4200-89c3-234596dcc67f</t>
  </si>
  <si>
    <t>00eda8cc-5a1e-4718-bf85-0721c2c6ad6c</t>
  </si>
  <si>
    <t>3a573685-40a3-4101-896c-912e9614db96</t>
  </si>
  <si>
    <t>SEUNGMIN OH </t>
  </si>
  <si>
    <t>e7b6b26c-2add-4352-a5f2-c36e426a7eeb</t>
  </si>
  <si>
    <t>71362d6a-1481-403f-a0f2-900fcdad6d9b</t>
  </si>
  <si>
    <t>Aleksandra Spiewak </t>
  </si>
  <si>
    <t>fc207b8c-f100-4e00-a376-9dc03068f105</t>
  </si>
  <si>
    <t>b7484830-fa21-4dbe-bc34-5349233f6840</t>
  </si>
  <si>
    <t>€56.38</t>
  </si>
  <si>
    <t>€3.06</t>
  </si>
  <si>
    <t>€53.32</t>
  </si>
  <si>
    <t>fc2d1017-01e7-409d-b581-7bb1b890807c</t>
  </si>
  <si>
    <t>ffc22bfe-9526-43f1-919d-b453dcdaf382</t>
  </si>
  <si>
    <t>0f374669-97d6-4f93-b3af-27ddf7125770</t>
  </si>
  <si>
    <t>€2.73</t>
  </si>
  <si>
    <t>€53.65</t>
  </si>
  <si>
    <t>815b8d3f-b054-49b9-9c32-16db4597ad91</t>
  </si>
  <si>
    <t>8ecca146-e3b7-4aef-bc24-57b3bd845f29</t>
  </si>
  <si>
    <t>Snehit Kumar</t>
  </si>
  <si>
    <t>1a4036a9-6b8b-4a13-9c61-228971119f9c</t>
  </si>
  <si>
    <t>a62d51e7-68d8-431a-9709-f413f260fb5e</t>
  </si>
  <si>
    <t>Kumar Snehit Prasad </t>
  </si>
  <si>
    <t>15d62253-085d-49bf-8a09-9b91e0c2791d</t>
  </si>
  <si>
    <t>10ddcc0a-a248-4e7d-8f36-2d8546fb9360</t>
  </si>
  <si>
    <t>€0.88</t>
  </si>
  <si>
    <t>866e297b-d638-474d-8e63-8694a3d51ef9</t>
  </si>
  <si>
    <t>bfd9143d-7f07-46a4-876a-48121bad1d0a</t>
  </si>
  <si>
    <t>face3ade-39c6-4a22-9f35-af79e65ee0b3</t>
  </si>
  <si>
    <t>5b301c22-dcfc-40af-bcc9-14b37641bd67</t>
  </si>
  <si>
    <t>e7f0bb41-150f-4e08-a1c5-ecb0594d82ea</t>
  </si>
  <si>
    <t>f8cf8d07-1ff4-4d7e-8059-3f814452605e</t>
  </si>
  <si>
    <t>Mirela Erbisti</t>
  </si>
  <si>
    <t>a406ef38-84b5-44a6-b2fa-dc21539aeaf6</t>
  </si>
  <si>
    <t>2d0f343f-0796-405f-b8c0-5f365278655a</t>
  </si>
  <si>
    <t>a6cde2dd-1ba2-4473-a2cd-1611bcedc37a</t>
  </si>
  <si>
    <t>048a6017-a353-4edd-87e3-d67c9a564c07</t>
  </si>
  <si>
    <t>dfed7a93-2051-4d08-a8cb-aa6ca9627a52</t>
  </si>
  <si>
    <t>398667d3-dc6b-46dd-a7e0-3a519feb5f06</t>
  </si>
  <si>
    <t>Samah Shilbayeh</t>
  </si>
  <si>
    <t>f6216f68-57ea-4c93-8349-a661a6c3ab1b</t>
  </si>
  <si>
    <t>0a7c07fb-74d0-4ddb-83d1-97c3d8764e24</t>
  </si>
  <si>
    <t>64393fd6-9f43-48ce-8163-a965c474fd0a</t>
  </si>
  <si>
    <t>19cfd7b6-73e6-47b8-a416-6ddfbf4128b5</t>
  </si>
  <si>
    <t>A &amp; M DE BETUE</t>
  </si>
  <si>
    <t>9a77865c-d498-45d5-8b62-c7e479528614</t>
  </si>
  <si>
    <t>652cd29c-ac93-4c0f-816d-68c810998da9</t>
  </si>
  <si>
    <t>aadd4e57-d7c2-4b7e-935e-62894ccdd1d1</t>
  </si>
  <si>
    <t>effefa4f-b606-43d1-807c-9fd698bc45ed</t>
  </si>
  <si>
    <t>c119ed5f-6c85-4fa8-88c7-74fac2248f86</t>
  </si>
  <si>
    <t>526689b8-0fbb-476f-8724-ef911972927a</t>
  </si>
  <si>
    <t>0471dde4-f9ce-43a7-b2d9-f8e8422c7750</t>
  </si>
  <si>
    <t>41a902de-15e2-4ce8-a931-12caa9ba98b9</t>
  </si>
  <si>
    <t>539ac077-d5ee-42b0-9525-0f44f3d40ad8</t>
  </si>
  <si>
    <t>c207a51c-d2da-4ec1-8faa-342d5a7be021</t>
  </si>
  <si>
    <t>06d4d99c-02d7-4684-8aee-804b4c1ec8da</t>
  </si>
  <si>
    <t>9a23a85f-fa73-4e7a-b622-2d704d8ae3aa</t>
  </si>
  <si>
    <t>c98526c9-9ebe-4a70-80a4-e861f5890bb5</t>
  </si>
  <si>
    <t>cdd69d88-9f18-44b5-adb2-c327b5842481</t>
  </si>
  <si>
    <t>cde268c8-72a8-4aa6-948b-7781b6a22e01</t>
  </si>
  <si>
    <t>32f3e618-5971-43c8-a237-dd97089ccfdb</t>
  </si>
  <si>
    <t>Tobias von Ahlefeld </t>
  </si>
  <si>
    <t>5fd0e6aa-454d-42c5-af08-7080894259fe</t>
  </si>
  <si>
    <t>6e41c1f4-9db5-4eee-82ba-3dbc7ad51114</t>
  </si>
  <si>
    <t>f836a7d1-e398-463a-ba8c-d4f9ebc3074b</t>
  </si>
  <si>
    <t>9d37df65-758e-435b-99e2-7e3ff136761f</t>
  </si>
  <si>
    <t>44b8f70b-1fee-4ff9-9eef-972ca98aa727</t>
  </si>
  <si>
    <t>34003f08-615f-423b-a304-71c1c1132790</t>
  </si>
  <si>
    <t>Rajiv Sangtani</t>
  </si>
  <si>
    <t>c2e71ea1-d5ab-41e3-b10b-b21dd3e57520</t>
  </si>
  <si>
    <t>56206920-0f98-4107-bd7b-1cf533bcc339</t>
  </si>
  <si>
    <t>Fico Cristina</t>
  </si>
  <si>
    <t>b6d23a32-45e2-4b59-8d5a-a0eb6a05c3e1</t>
  </si>
  <si>
    <t>25908c13-1f55-4fb7-8bd0-171291a002e2</t>
  </si>
  <si>
    <t>710932a5-5d1e-47c1-b4f0-a1f548143525</t>
  </si>
  <si>
    <t>d4308ec1-d032-4895-b55d-117ec2964aa0</t>
  </si>
  <si>
    <t>e583f4cd-8c9b-4111-bca7-199a8e32605e</t>
  </si>
  <si>
    <t>303ff503-eab9-4525-b2b3-2cc60bbc15f7</t>
  </si>
  <si>
    <t>884484fc-b142-42f6-9780-5f5c331066ae</t>
  </si>
  <si>
    <t>a5b06dd7-36c3-47fe-a5de-61fe89c644ac</t>
  </si>
  <si>
    <t>26984d83-f933-4a0a-bcfb-9b142cfc0ccc</t>
  </si>
  <si>
    <t>5e169ad7-b4e9-4a0d-b028-806c1b8767ea</t>
  </si>
  <si>
    <t>d6bdb668-902a-4957-bd95-d0aff0f85257</t>
  </si>
  <si>
    <t>Krzysztof Majcher</t>
  </si>
  <si>
    <t>KRZYSZTOF MAJCHER</t>
  </si>
  <si>
    <t>6f15af1b-1924-4b87-91b4-5c73a02d8587</t>
  </si>
  <si>
    <t>b272ba10-0339-43f9-9f37-ee1edb142de8</t>
  </si>
  <si>
    <t>8c0168fd-2c10-4241-b9bc-0e18b04f8218</t>
  </si>
  <si>
    <t>ea7cb28a-f59b-4f9c-835e-f46a33e1f9f2</t>
  </si>
  <si>
    <t>e7b519f0-1fd1-4c6b-8d96-3dbbe1f38c31</t>
  </si>
  <si>
    <t>e128e449-f021-4786-ac5c-cbef025dd627</t>
  </si>
  <si>
    <t>54a7033f-eb84-4e11-b32f-6d46ac67e589</t>
  </si>
  <si>
    <t>d4c15d5d-ac6f-48ab-b495-03966e246bb7</t>
  </si>
  <si>
    <t>ADRIAN FUNDNEIDER</t>
  </si>
  <si>
    <t>d31bf157-eaa4-4c0d-ad0c-281bf9157b62</t>
  </si>
  <si>
    <t>df492b50-0c9b-4b5d-8b23-1a1ef399c2fe</t>
  </si>
  <si>
    <t>3b9ca82f-80c8-4b41-845e-25c7e490a0b7</t>
  </si>
  <si>
    <t>58d31646-518d-4cf0-8264-6b4bbcbf3542</t>
  </si>
  <si>
    <t>e14cfa72-d16d-4ac9-9f87-96dcc9b7c2ec</t>
  </si>
  <si>
    <t>1a3bf8b3-e132-4efd-9b55-3c041e13a1a7</t>
  </si>
  <si>
    <t>971464fc-5a3d-4ffc-9306-605ecad8b12f</t>
  </si>
  <si>
    <t>8d479675-6a35-48e9-800b-cda62d1f69f6</t>
  </si>
  <si>
    <t>c4ce445e-5a8a-4389-8199-865f1a52e03a</t>
  </si>
  <si>
    <t>4e1884cf-c689-4fb7-9b9e-8e26df1f9066</t>
  </si>
  <si>
    <t>166b9fe6-e9ac-4c0f-ae88-30facf96a88c</t>
  </si>
  <si>
    <t>e2da0c3c-484f-4b73-b858-9504758d2a85</t>
  </si>
  <si>
    <t>211ce4ed-3ba8-4c45-8d7a-a2288764f992</t>
  </si>
  <si>
    <t>dca7d153-0379-43bc-a5cd-a28aa33c4a37</t>
  </si>
  <si>
    <t>aab8a89f-01ad-45d5-96d3-2f1ab4419350</t>
  </si>
  <si>
    <t>763b536d-d788-458f-9ed4-2794512eaf65</t>
  </si>
  <si>
    <t>044d0151-34c6-452b-84df-f4bc49080b71</t>
  </si>
  <si>
    <t>db2088d1-4757-478e-8d38-e8dc18d29040</t>
  </si>
  <si>
    <t>e2e25897-bd2a-4380-bb23-ca3488f5d582</t>
  </si>
  <si>
    <t>5d876a04-7a6a-4b68-996e-ffc707c14d1c</t>
  </si>
  <si>
    <t>c40da83a-2498-4e81-9660-2f75b785ccaa</t>
  </si>
  <si>
    <t>e2d41514-aa85-416a-9910-8cb102192b36</t>
  </si>
  <si>
    <t>d6f02b35-526d-42b5-9e57-1f2940f7dceb</t>
  </si>
  <si>
    <t>47d861a8-9a97-4640-99db-040e37939221</t>
  </si>
  <si>
    <t>82e582aa-0af6-42ea-a0f3-b4c3f1313b86</t>
  </si>
  <si>
    <t>52059b1b-a245-461d-8d19-577cbe3c781f</t>
  </si>
  <si>
    <t>59faf719-554e-4eed-b1d1-232f809ca72b</t>
  </si>
  <si>
    <t>75fe92ee-e107-445f-a791-1089b76ad384</t>
  </si>
  <si>
    <t>e3167c57-b47d-4880-ae70-04ef85ba0cdf</t>
  </si>
  <si>
    <t>d04a755f-4cb0-4783-a8ab-713cf7b6c0b2</t>
  </si>
  <si>
    <t>ee492997-afb2-4e82-add6-1d8bcc12b6df</t>
  </si>
  <si>
    <t>db2a2b22-f3b7-453a-829e-912f6c17dea3</t>
  </si>
  <si>
    <t>810bacfd-1fd1-4ba1-ad98-6f6ef38ad7e2</t>
  </si>
  <si>
    <t>3ec96485-0e61-4c0d-acdd-11a35a0c0cdc</t>
  </si>
  <si>
    <t>ee9009ac-82bf-4b90-a3f6-33a0623c4232</t>
  </si>
  <si>
    <t>e9f90905-95b5-47bc-82ba-d390c9a8680b</t>
  </si>
  <si>
    <t>642ec323-dea7-4426-83f5-c3f295ad0336</t>
  </si>
  <si>
    <t>d2b51402-1969-4793-878f-6b348ef1d76b</t>
  </si>
  <si>
    <t>f126a89d-6c37-4507-89fc-ca2af0dc5998</t>
  </si>
  <si>
    <t>32e82ff2-2e93-4c1b-b23f-7e21dd07632f</t>
  </si>
  <si>
    <t>43bbe3e0-04a6-45ff-84e1-53752cadc2cd</t>
  </si>
  <si>
    <t>f39f2698-74f4-429b-aaad-4a9fdfc7ed13</t>
  </si>
  <si>
    <t>797e167b-2c86-4cd2-ba94-7c4168910b23</t>
  </si>
  <si>
    <t>7df7e68e-f9e5-4c10-9fb4-6876180b5ed6</t>
  </si>
  <si>
    <t>29d1e1c9-7d62-4ab0-a7b9-b1baaf043e6b</t>
  </si>
  <si>
    <t>44c7d208-1b1f-44fe-b48e-537d846ef8b3</t>
  </si>
  <si>
    <t>b40176b9-3b09-40a9-bb90-1dd25cd3e0d1</t>
  </si>
  <si>
    <t>acf4596b-80a3-4ee0-9c40-401001d81ce6</t>
  </si>
  <si>
    <t>5b1f9d06-39f9-4bc6-823d-e6c876a53d0c</t>
  </si>
  <si>
    <t>a0e0afdd-4956-416f-8990-ab43b537ad93</t>
  </si>
  <si>
    <t>a5e5159b-7ea1-4dbe-8ca7-58a1d4d4de44</t>
  </si>
  <si>
    <t>808fd3ae-b9be-4897-a9bc-471f6351b326</t>
  </si>
  <si>
    <t>176334f8-6f01-4981-8003-95fae15585da</t>
  </si>
  <si>
    <t>3e7f845b-d150-4b99-b859-8f94d662fb32</t>
  </si>
  <si>
    <t>8c69d127-8ec9-4465-9625-1c2206038dfd</t>
  </si>
  <si>
    <t>ea3d0d19-ea34-49c0-99d1-119d71247572</t>
  </si>
  <si>
    <t>ea683193-bccb-47e1-b92b-edc98ed05839</t>
  </si>
  <si>
    <t>54cd71df-7001-4aaa-be53-e7dccf844165</t>
  </si>
  <si>
    <t>54fd9fae-b79e-4937-88cc-be67532fadc4</t>
  </si>
  <si>
    <t>4b3579a0-6bc3-4016-bf60-32743403fe2c</t>
  </si>
  <si>
    <t>8395767c-9c94-45c3-aa8b-80b54e13299c</t>
  </si>
  <si>
    <t>9b881022-3c72-4c49-a52f-2ec7ab994dd6</t>
  </si>
  <si>
    <t>d5dd5c5a-a259-4a45-b78a-f2ff5623407e</t>
  </si>
  <si>
    <t>fea1ef1c-23df-40b1-8c9d-eee01061544c</t>
  </si>
  <si>
    <t>e04d3f3b-0082-4a5d-9e56-55adf24b4721</t>
  </si>
  <si>
    <t>f0c6e81b-a601-4e97-9b64-b6583b7d6daa</t>
  </si>
  <si>
    <t>a9b9334a-0582-4d0f-9912-cb3ba5c200d3</t>
  </si>
  <si>
    <t>069bc1b7-9ab7-4e36-9900-9776ba778718</t>
  </si>
  <si>
    <t>a905e332-6b53-40f7-97b2-98233e335624</t>
  </si>
  <si>
    <t>80016855-f564-4397-b9f7-61fa8235fe86</t>
  </si>
  <si>
    <t>c8003572-a54b-474c-88c2-bf3ecdf3e434</t>
  </si>
  <si>
    <t>ea5cd028-73c6-4052-a53c-4aa0504955ed</t>
  </si>
  <si>
    <t>6fee8f99-26be-493f-abd7-784e69b4ddce</t>
  </si>
  <si>
    <t>0ef8b1f4-534d-4fca-9923-c10f32f401b5</t>
  </si>
  <si>
    <t>Franciszek Modzelewski</t>
  </si>
  <si>
    <t>2748af13-b23d-4002-9dcd-b5bdd8933057</t>
  </si>
  <si>
    <t>94a61c70-afa2-41e2-b571-9e8e035cd747</t>
  </si>
  <si>
    <t>4bd8d82d-0ff8-4454-a421-74649da9d977</t>
  </si>
  <si>
    <t>0b6789dc-313a-4062-9de9-7124a0943e6b</t>
  </si>
  <si>
    <t>f03b02c2-d021-491d-9afd-f3cab55a018f</t>
  </si>
  <si>
    <t>44cbf071-5c05-437e-9724-4a72e1b792e8</t>
  </si>
  <si>
    <t>58a36c60-f7b4-4ff9-84a5-cbb24b03e0dc</t>
  </si>
  <si>
    <t>1837a28e-0750-401a-b9d7-7980121d95e3</t>
  </si>
  <si>
    <t>0225bd88-234f-4a03-a9a4-695bf5a91591</t>
  </si>
  <si>
    <t>24d0f471-a091-4382-957f-fa85b888eb37</t>
  </si>
  <si>
    <t>3889dd70-2038-4dc4-b880-2fa3ac4e1d7a</t>
  </si>
  <si>
    <t>44957dbe-c490-4b7e-8099-14f6975bb3cb</t>
  </si>
  <si>
    <t>c1106986-ecb4-499b-9b95-a6554402dd31</t>
  </si>
  <si>
    <t>12026e76-9db8-4f8d-baa3-27bbde89ad63</t>
  </si>
  <si>
    <t>f580bfcc-3e7a-4b43-937e-5fe6e561860f</t>
  </si>
  <si>
    <t>0444bd1a-bb85-4a55-8f88-786005ca757e</t>
  </si>
  <si>
    <t>cd5fd697-8226-48c6-b7c8-2abefc349c4f</t>
  </si>
  <si>
    <t>40b53b4c-c9f0-41f8-b159-775509c58a9b</t>
  </si>
  <si>
    <t>c46850d2-d7fd-40c5-9bf4-afe5a89705a1</t>
  </si>
  <si>
    <t>d8885f29-5347-4c72-b4d8-5a8d3055ae30</t>
  </si>
  <si>
    <t>bb88288d-118e-4d1f-bf92-44eacac27b16</t>
  </si>
  <si>
    <t>161bfed2-e253-47c2-b492-93d6af95ede1</t>
  </si>
  <si>
    <t>c018eada-9bcb-472e-b7c4-46a5b921508f</t>
  </si>
  <si>
    <t>806b5502-eb62-4d50-b2b0-5951be2db417</t>
  </si>
  <si>
    <t>43d91869-ce75-4059-b2d7-a85efa6ebb53</t>
  </si>
  <si>
    <t>1d6cdde8-275a-4443-a4f3-0e9ebfe4bed6</t>
  </si>
  <si>
    <t>Porkolab Nora</t>
  </si>
  <si>
    <t>da9dae8b-d533-4bbf-9447-026b45ede8b9</t>
  </si>
  <si>
    <t>9c69bea3-1a8e-4c0b-a6cd-f03962a050c8</t>
  </si>
  <si>
    <t>c5e3478f-4446-4511-9e1e-00cee70f0b71</t>
  </si>
  <si>
    <t>e422c344-d4ce-4a45-9e61-b539d38686e1</t>
  </si>
  <si>
    <t>Lilly Winkler </t>
  </si>
  <si>
    <t>ea97bd67-9093-47cb-b82c-d07964a42516</t>
  </si>
  <si>
    <t>251a7504-35e3-48d7-b1a7-b847c9b5233b</t>
  </si>
  <si>
    <t>Idil H. Baldauf</t>
  </si>
  <si>
    <t>ac6bc6cc-ca7f-4703-b860-429b38d77061</t>
  </si>
  <si>
    <t>c2f8c183-433f-4293-9355-47516c199fef</t>
  </si>
  <si>
    <t>a3ebc624-28a7-471d-bcf9-09c8ac914536</t>
  </si>
  <si>
    <t>997bcc9c-9d03-4480-9cc3-7a3a66776aac</t>
  </si>
  <si>
    <t>3bdd2d96-2a08-42b7-88ac-f4cf7669b7d8</t>
  </si>
  <si>
    <t>f1a00957-181a-4571-813c-69558a9f7596</t>
  </si>
  <si>
    <t>143cb6c0-8e26-4f9a-86ed-1c98fa554971</t>
  </si>
  <si>
    <t>8be3899b-da52-4db0-a9d5-7e60dc7dd6f5</t>
  </si>
  <si>
    <t>d328e578-cf58-4ef4-bc79-adb8cbe18a61</t>
  </si>
  <si>
    <t>0b6a63a8-1fe8-4d78-a1fd-83ec60199545</t>
  </si>
  <si>
    <t>5ff22e4e-1ae0-4691-a281-6259dae29c20</t>
  </si>
  <si>
    <t>243ec559-0281-438f-8ef5-17c29e565ba4</t>
  </si>
  <si>
    <t>05c01f69-58f3-4f9d-9a5a-cb94fedfcacb</t>
  </si>
  <si>
    <t>67c8519c-8b33-432a-a6f9-66cc740f2783</t>
  </si>
  <si>
    <t>7efdc532-51c7-4dcf-964d-358ef7718380</t>
  </si>
  <si>
    <t>a4f62e66-1fc9-4b77-abbc-dc5661f9caa9</t>
  </si>
  <si>
    <t>07284604-e252-4c34-8c18-28e60836bd77</t>
  </si>
  <si>
    <t>2992b607-671a-48d4-b5e4-64f98e7cfda4</t>
  </si>
  <si>
    <t>68fa626e-8118-44d7-b9be-3017e062d557</t>
  </si>
  <si>
    <t>5cf0f07f-40ec-4e33-8ef7-40befff9c32b</t>
  </si>
  <si>
    <t>1dd2fc94-1e37-4975-bd3d-e5bb1dbc9fb9</t>
  </si>
  <si>
    <t>313fab69-29cc-4621-ad37-bd7b65c1a47d</t>
  </si>
  <si>
    <t>f6af4781-b4bd-42f4-9069-36df687082a4</t>
  </si>
  <si>
    <t>077f32ce-7121-4c4e-97ac-1f0e3d771834</t>
  </si>
  <si>
    <t>d3a8a833-38d8-4c9a-9377-5490aa6317dc</t>
  </si>
  <si>
    <t>c612d67f-a190-4fab-883e-fb5258eda9b9</t>
  </si>
  <si>
    <t>4be8240f-875d-4a7a-811d-0b922e4794fe</t>
  </si>
  <si>
    <t>bb6bd2f3-4dbf-463b-89f9-b4956e820ed0</t>
  </si>
  <si>
    <t>4c0de4a1-168a-421d-9130-48031516551b</t>
  </si>
  <si>
    <t>237e6ff7-c99c-471e-bc13-127d730474d9</t>
  </si>
  <si>
    <t>d8aac5a8-d491-4439-8d48-8469d028acc6</t>
  </si>
  <si>
    <t>8658ad78-b1ad-4cd3-96c0-f02f450917b3</t>
  </si>
  <si>
    <t>38896d36-1cb2-4d50-b083-371dfef2489f</t>
  </si>
  <si>
    <t>452202a3-7fed-43b0-bd3d-9b3d6dcc403f</t>
  </si>
  <si>
    <t>ef431fda-cde4-4ab2-8b5a-cfd9290cbd74</t>
  </si>
  <si>
    <t>e29a1104-e827-4e83-b15b-d5861e34f238</t>
  </si>
  <si>
    <t>aebff38a-a577-4db6-accd-a989a0b03020</t>
  </si>
  <si>
    <t>b129eb0b-c8b9-41b2-8085-7f4a2f1335ed</t>
  </si>
  <si>
    <t>238c1edb-14ac-48ea-aba0-afa4ef05be3e</t>
  </si>
  <si>
    <t>c93bc84c-3168-4df2-bfaa-32482cbb371b</t>
  </si>
  <si>
    <t>9b88052d-129d-49b1-b134-7b72f839404c</t>
  </si>
  <si>
    <t>5cc74d4b-d356-4812-9749-00141c8bb2af</t>
  </si>
  <si>
    <t>8c92dd47-cbfb-4fc8-a598-bc7461819a07</t>
  </si>
  <si>
    <t>cda86cde-6032-4b81-97e1-89c1690a1b9f</t>
  </si>
  <si>
    <t>df4af38e-e038-4166-a5e9-2a7844163a8a</t>
  </si>
  <si>
    <t>656ecc40-953b-4bdc-91cf-311c5c753261</t>
  </si>
  <si>
    <t>f19aa60f-a693-4d7f-a300-8079fd6d3e9c</t>
  </si>
  <si>
    <t>03158c6a-f983-4dee-84fe-c4a3d61913b0</t>
  </si>
  <si>
    <t>7548acf4-e8f0-46ac-a4a5-cd07e19e8a90</t>
  </si>
  <si>
    <t>936b0c29-7013-4bc5-a39a-6fc2b5ef90eb</t>
  </si>
  <si>
    <t>e6b4ebf4-0308-479b-b978-ee341fccbd0d</t>
  </si>
  <si>
    <t>dbf53e4d-37d5-45b6-b036-f60442956749</t>
  </si>
  <si>
    <t>a7b29b9c-7516-4172-aea2-ddf8a375405f</t>
  </si>
  <si>
    <t>a23f2fe4-7660-4c4e-878b-1fb1103a57a5</t>
  </si>
  <si>
    <t>name is Cornelis Pieter Kim</t>
  </si>
  <si>
    <t>d1287a2d-2c74-4b34-a1a2-2ac901430660</t>
  </si>
  <si>
    <t>fb130300-7cb7-427a-9090-9f320be369fc</t>
  </si>
  <si>
    <t>26abab41-bb0d-4fc8-a7aa-4c40ee4dca86</t>
  </si>
  <si>
    <t>3d42324d-632d-4bb2-878d-2890e2725f81</t>
  </si>
  <si>
    <t>b66c86e6-0558-49a7-a722-4bea845baada</t>
  </si>
  <si>
    <t>40285205-231c-4e1e-82a2-2d0b740258ba</t>
  </si>
  <si>
    <t>64f3f644-49c4-41e3-be18-bb9cbf01d781</t>
  </si>
  <si>
    <t>67188e20-8a84-47d0-b18a-649eea8c621d</t>
  </si>
  <si>
    <t>92690e55-1b7e-4608-b4ef-2e64310f1997</t>
  </si>
  <si>
    <t>6748693a-24a6-4d70-83d7-89ef25366852</t>
  </si>
  <si>
    <t>ae1e842d-7d9f-403b-a2c2-ca03cf02f62a</t>
  </si>
  <si>
    <t>4c3cf512-e98f-4615-a89f-74fa185be0d8</t>
  </si>
  <si>
    <t>ba959ab0-d3e5-4ebe-9e63-b0ef8d5814f2</t>
  </si>
  <si>
    <t>e0d594c4-85a4-4b3d-9e81-51842a6b5dc7</t>
  </si>
  <si>
    <t>cb97d8b9-a580-4598-9e9e-7972e5c82853</t>
  </si>
  <si>
    <t>c0226ba6-5e63-42a2-962c-717b2e023cd0</t>
  </si>
  <si>
    <t>f56c2ab2-0468-41cf-ae31-567804314e27</t>
  </si>
  <si>
    <t>181b1584-0210-4431-835d-1d400e3ff596</t>
  </si>
  <si>
    <t>2aa0e135-4793-4b3b-92c4-973c0cc32e67</t>
  </si>
  <si>
    <t>147f7f4e-e7f9-49de-bec4-f002eca56a58</t>
  </si>
  <si>
    <t>fce8217c-ae7a-41cb-a4d7-5fe1cabf4043</t>
  </si>
  <si>
    <t>2e8f51ad-7b66-470e-8b0a-6731a2e9e360</t>
  </si>
  <si>
    <t>€3.39</t>
  </si>
  <si>
    <t>€52.99</t>
  </si>
  <si>
    <t>57f6a79a-4cd9-4d1d-a841-64fa1750d180</t>
  </si>
  <si>
    <t>a2e95147-a57e-45d4-8ae2-cd3cc3ba56d6</t>
  </si>
  <si>
    <t>3dad1af8-602e-473f-9c27-796c00e4170d</t>
  </si>
  <si>
    <t>c3e549e5-b362-4513-8b1b-b87b52b5946e</t>
  </si>
  <si>
    <t>8582567a-c8ab-4e33-9198-4b9a5026d612</t>
  </si>
  <si>
    <t>48ea245b-544b-4e48-9aca-216193e120ec</t>
  </si>
  <si>
    <t>13583cbb-6a98-4c4c-bb64-048a574960cb</t>
  </si>
  <si>
    <t>0de98b6d-7a1d-4787-9d20-44cc09f6adaf</t>
  </si>
  <si>
    <t>3c61c980-77c5-49e4-b38b-a65e84747033</t>
  </si>
  <si>
    <t>89957d67-db39-420f-8212-de422cc4dc2c</t>
  </si>
  <si>
    <t>4c56a116-efb5-45f1-adbe-9776952f6acd</t>
  </si>
  <si>
    <t>18f58b8f-7107-42ce-a29e-69cf9b7abefe</t>
  </si>
  <si>
    <t>c9a8ec4c-7424-4c67-986b-0e8d4bd4382c</t>
  </si>
  <si>
    <t>e9c69b9c-9320-478b-bd2d-a31773b630ce</t>
  </si>
  <si>
    <t>9263ba4a-a69a-4d0c-8a11-0f85bae27b42</t>
  </si>
  <si>
    <t>b6fefd20-f2ae-4e9a-ac92-b9f7a240c89c</t>
  </si>
  <si>
    <t>4775e38e-9eef-40c1-a5c5-96bc4e029afb</t>
  </si>
  <si>
    <t>64e9d610-4c38-4386-b4b9-4063dade29e2</t>
  </si>
  <si>
    <t>68d943fc-c20a-49d6-a619-7882ce9e9eda</t>
  </si>
  <si>
    <t>640467a2-220a-40a8-a141-4c11c8ee670b</t>
  </si>
  <si>
    <t>45028c6c-d333-468c-9a4c-5f9a78728e1b</t>
  </si>
  <si>
    <t>64d876a5-1e66-4932-a7f8-bc283b99d92a</t>
  </si>
  <si>
    <t>e70a4ff2-e4cb-43b2-9f67-01d8d8f517fe</t>
  </si>
  <si>
    <t>01befdb1-3f74-479b-ba73-ed5cd06987e9</t>
  </si>
  <si>
    <t>d6630923-6f08-44eb-afc9-cceeafc2591a</t>
  </si>
  <si>
    <t>b0489ed2-98a5-4cf1-9980-9ba6d5568a56</t>
  </si>
  <si>
    <t>14edb799-c4c0-44aa-8b7d-1ce0ae7dd628</t>
  </si>
  <si>
    <t>f447bd5c-a2b3-4674-8f95-e67be2863002</t>
  </si>
  <si>
    <t>0364ebab-38c9-4227-bc17-05653f5b4146</t>
  </si>
  <si>
    <t>bbb7575b-f642-4906-9b67-8d09b21baac7</t>
  </si>
  <si>
    <t>916e919b-d044-4a90-b44b-83f287490a9a</t>
  </si>
  <si>
    <t>3c034050-1d37-4b34-b6f5-e5ec084fd480</t>
  </si>
  <si>
    <t>bedb0aa9-5be1-4edd-adbf-ad2b6366d8bc</t>
  </si>
  <si>
    <t>ce5971fe-9ec2-4545-a5cf-07d89e9f3991</t>
  </si>
  <si>
    <t>d2021782-a61d-4e9a-bf13-ce33ef7769c3</t>
  </si>
  <si>
    <t>6ca14a17-ac71-47ae-9dda-2c211d0a2a84</t>
  </si>
  <si>
    <t>774de557-0bc8-4f9f-81d1-26d495a2c477</t>
  </si>
  <si>
    <t>1fa4682c-6c60-4206-ac06-f77bc38cc1cb</t>
  </si>
  <si>
    <t>3f9326cf-061c-4cd8-ae0c-2e1675d5f5a1</t>
  </si>
  <si>
    <t>cc0459cd-b378-4d12-a7e8-99bff45c9b24</t>
  </si>
  <si>
    <t>8f3226a4-b0ca-4707-a088-168f1d3eec91</t>
  </si>
  <si>
    <t>463aba01-dddd-4432-9868-71d7a8f4fdb3</t>
  </si>
  <si>
    <t>74c37c74-83a9-4562-b21e-c2b9b5e05e0c</t>
  </si>
  <si>
    <t>3fe1542c-5ecf-4f2f-9f13-e2816b735f31</t>
  </si>
  <si>
    <t>4da9ac0e-9838-489d-b06b-90dad268c30c</t>
  </si>
  <si>
    <t>fb956268-7a5f-4218-a117-71458cbe7a4e</t>
  </si>
  <si>
    <t>3974a786-d7d3-48e6-b103-f005b6c0d857</t>
  </si>
  <si>
    <t>4fc5d0a3-3e13-439b-8831-30537d551590</t>
  </si>
  <si>
    <t>4fd93e75-dbde-4bda-be84-c106ef80a543</t>
  </si>
  <si>
    <t>ab342df6-a9ee-4a33-9218-332110550303</t>
  </si>
  <si>
    <t>5c974e93-a76e-4d0a-b465-db777200c9bb</t>
  </si>
  <si>
    <t>6711f13c-99ff-42e3-988b-f6de9b9544a3</t>
  </si>
  <si>
    <t>c5fd1fea-cef4-449d-9aa3-f4781f408f31</t>
  </si>
  <si>
    <t>6b54c5e7-25d8-4c90-b4e1-e06fed90e60f</t>
  </si>
  <si>
    <t>0964a9ea-887a-44ed-879a-064a3faddae4</t>
  </si>
  <si>
    <t>4ce501e0-aa90-4c47-88ff-72b2f5ec30b0</t>
  </si>
  <si>
    <t>b7b88022-39f8-4ad2-a373-3cf6d7af4f4c</t>
  </si>
  <si>
    <t>aae1699f-c42e-4b49-8001-c989cae7d58a</t>
  </si>
  <si>
    <t>947b9e9a-fad0-43c4-8574-924cd2b9cbf8</t>
  </si>
  <si>
    <t>ab511c9e-55b0-4e1a-9e3e-06e82fd791c2</t>
  </si>
  <si>
    <t>e0e9c948-5d8a-48b2-a5d6-992b1df67afe</t>
  </si>
  <si>
    <t>6075e999-1ebc-4ec1-9e90-798ba790a3f8</t>
  </si>
  <si>
    <t>13f5487a-4637-4ea2-a5fa-ac3186e1ea6c</t>
  </si>
  <si>
    <t>5eee8a9c-de17-4838-8c19-6c79ff47fc57</t>
  </si>
  <si>
    <t>d1ac619d-db55-4917-8886-0ffa6e33d6ca</t>
  </si>
  <si>
    <t>53bca3ef-22d1-4be4-aea5-d45574c3754b</t>
  </si>
  <si>
    <t>4b0de9ef-550c-4cbe-a986-13569c175db8</t>
  </si>
  <si>
    <t>465d62aa-9b29-44be-9929-a41b1938cf96</t>
  </si>
  <si>
    <t>4dcb0ff5-aa89-4153-8e1e-9ef688f57471</t>
  </si>
  <si>
    <t>8402d3c2-bbe6-4f3b-be1d-c4b9acaab889</t>
  </si>
  <si>
    <t>6c4e3f15-62a1-4a3c-a4f7-852aed2ee912</t>
  </si>
  <si>
    <t>db8380f1-ab15-4338-8cfa-f267f8c72d18</t>
  </si>
  <si>
    <t>3b975a3a-151f-4799-82d2-4076b1858c9b</t>
  </si>
  <si>
    <t>ca5cd648-0d7e-428f-91dc-2cad38dd66f1</t>
  </si>
  <si>
    <t>0488edcb-583a-48d5-8f21-752b30d76d0d</t>
  </si>
  <si>
    <t>88264355-eb0b-49c0-90ab-ad761d05f037</t>
  </si>
  <si>
    <t>950adf79-1f0a-46f0-b2f5-1f47d7b056d2</t>
  </si>
  <si>
    <t>e4877d4c-c5a3-4c34-9f1d-591530538bca</t>
  </si>
  <si>
    <t>14d44686-ace7-427d-a6ab-1324b0ddcce2</t>
  </si>
  <si>
    <t>b3a9d361-1664-4e5d-8b85-ee5bc4edacc7</t>
  </si>
  <si>
    <t>c60f108d-4b4e-42e9-954f-a11f6be4e0ec</t>
  </si>
  <si>
    <t>0ec0c342-bb26-49dd-a63d-3271200612cc</t>
  </si>
  <si>
    <t>3761bfbd-a5df-4485-97db-fd09fe2ff74c</t>
  </si>
  <si>
    <t>c307719a-df46-42ea-8c20-8d629838e72b</t>
  </si>
  <si>
    <t>a3c15d94-6cbd-4c1b-9c6a-2d497b1ac813</t>
  </si>
  <si>
    <t>bab85032-55a7-4400-83a0-59f1d4ee382f</t>
  </si>
  <si>
    <t>7b1d221f-5772-4137-9f11-5d09c042a9bb</t>
  </si>
  <si>
    <t>933c9fad-3c87-4428-b428-e44558f4b831</t>
  </si>
  <si>
    <t>23d2fb88-14c3-4959-883b-3ca38e96098a</t>
  </si>
  <si>
    <t>f3168be1-f70b-44d2-b467-d546264a3299</t>
  </si>
  <si>
    <t>6e4000ed-4842-4380-8eaa-294ee24412bd</t>
  </si>
  <si>
    <t>985d2234-28b9-4374-8ca8-b4d2a4ca0b8b</t>
  </si>
  <si>
    <t>8d96a023-24c6-4915-8590-f1e81643c5e4</t>
  </si>
  <si>
    <t>8f76b52d-f935-424e-b5d3-f85501911a7c</t>
  </si>
  <si>
    <t>e8a53106-04ef-48c4-b2c9-8b2be06c6655</t>
  </si>
  <si>
    <t>04062674-f6b1-49ce-99cd-81c13b1c8b87</t>
  </si>
  <si>
    <t>950dc194-1aa3-436c-8bf4-0b919f9c99bf</t>
  </si>
  <si>
    <t>98e8853a-dd4a-42eb-868e-2789d50bd269</t>
  </si>
  <si>
    <t>c44ae0e2-91bf-44e3-af62-5a655608b331</t>
  </si>
  <si>
    <t>d0748657-8575-4d35-85ff-0756062bee1b</t>
  </si>
  <si>
    <t>a89817af-c8c2-43d6-a150-91475cc3aa5c</t>
  </si>
  <si>
    <t>7f504536-6cbd-4e6b-9dd4-b77b4190b49d</t>
  </si>
  <si>
    <t>fdb7ff03-3b8b-4717-93cc-fe4b932a036e</t>
  </si>
  <si>
    <t>436cec41-1ba0-4572-a45b-ccb9800c14c5</t>
  </si>
  <si>
    <t>76177d54-aa05-4905-8b3c-1d1b6a5ab3a9</t>
  </si>
  <si>
    <t>aba2539d-175f-4064-bb1e-5119367ed25e</t>
  </si>
  <si>
    <t>9ab82e66-a178-435f-81df-2b101afbaba7</t>
  </si>
  <si>
    <t>7ce3dec8-276b-4aa7-af38-779260b6dc7c</t>
  </si>
  <si>
    <t>fd95ddce-59ac-4825-bb18-9d1c98f3e9be</t>
  </si>
  <si>
    <t>a66d750c-f2ba-4cf3-b23f-a6efd5332f6f</t>
  </si>
  <si>
    <t>bf7a79a2-1896-4b85-b04c-faf1e9553994</t>
  </si>
  <si>
    <t>df90fb34-cb3d-4315-b6a7-8740d3b2c736</t>
  </si>
  <si>
    <t>f6dd535f-a85c-4995-9969-c3af58f018a0</t>
  </si>
  <si>
    <t>23134c6e-1be5-48e3-969d-3a9866ec4463</t>
  </si>
  <si>
    <t>2e9364df-422b-40af-ba01-e56c3c09a24b</t>
  </si>
  <si>
    <t>9512ac9d-7994-4835-a2a2-9b9517ba54c9</t>
  </si>
  <si>
    <t>e4c85bee-ae3e-4e97-beec-d0838a62e6b8</t>
  </si>
  <si>
    <t>07efbc87-a456-45f0-8368-0cddba705dac</t>
  </si>
  <si>
    <t>f3b62c06-23d1-4e8b-8812-38eac43c39ec</t>
  </si>
  <si>
    <t>8efb8177-4fd0-42ff-82b9-3cfa789d0bb9</t>
  </si>
  <si>
    <t>Michał Gradoń</t>
  </si>
  <si>
    <t>bba08431-2d24-4175-bf1a-1ab4e9384a32</t>
  </si>
  <si>
    <t>5756e23c-b3ec-49ad-951c-b3940ea3e394</t>
  </si>
  <si>
    <t>a5ea207e-9580-415b-aecc-feae9f6084d0</t>
  </si>
  <si>
    <t>7503c54a-d599-4d69-b4c2-84d0b0ac35fe</t>
  </si>
  <si>
    <t>50374cb3-ed1c-47e4-8696-3742903bfbd3</t>
  </si>
  <si>
    <t>5fd1675f-1e99-444a-b048-55984a8b4dc8</t>
  </si>
  <si>
    <t>37a98821-b1f3-466b-a666-086ce08cc6da</t>
  </si>
  <si>
    <t>21389ca2-95f7-4ea9-928d-79e4891a75aa</t>
  </si>
  <si>
    <t>2e55a2ac-efec-4e3f-979b-ac910ea8f978</t>
  </si>
  <si>
    <t>c68a221e-23a0-41e0-a712-4342a82f38ff</t>
  </si>
  <si>
    <t>446405eb-c1a5-46e7-a252-79d755c80270</t>
  </si>
  <si>
    <t>7263b6e5-8600-41a4-a0c8-ab8938fa74c3</t>
  </si>
  <si>
    <t>Astrid von Sydow </t>
  </si>
  <si>
    <t>73250446-10a3-40f9-8083-9f3a10b1d6c2</t>
  </si>
  <si>
    <t>9385d8db-c57e-4421-b060-719be505894a</t>
  </si>
  <si>
    <t>Monica Jimenez</t>
  </si>
  <si>
    <t>6641b34d-bb83-4831-8823-36f2fcde0e2f</t>
  </si>
  <si>
    <t>21771086-72c6-4d35-a95f-5006a57d1844</t>
  </si>
  <si>
    <t>29f947e4-6cd3-4adb-83d3-2c3dac42eae3</t>
  </si>
  <si>
    <t>cd2135c6-c957-4877-963d-32f340cbff97</t>
  </si>
  <si>
    <t>4fb5d959-e8fe-41fb-92fd-7f10bcb0117c</t>
  </si>
  <si>
    <t>992c9f8e-664b-427e-9cdf-a58a25d7886e</t>
  </si>
  <si>
    <t>d13b2e0d-563b-4736-942a-454ec367caf8</t>
  </si>
  <si>
    <t>f13f1beb-8165-4d84-a5c4-4ab5f343a85d</t>
  </si>
  <si>
    <t>7fe4c94b-5bfd-4ec4-9712-d54858349f6c</t>
  </si>
  <si>
    <t>f53ce5cb-3b6a-4f2a-bbce-eaaf2ec00737</t>
  </si>
  <si>
    <t>023f096d-c53c-47b7-ae4d-27b7f1d20455</t>
  </si>
  <si>
    <t>2cab86f2-7e4c-4645-9042-3b5a8c205c98</t>
  </si>
  <si>
    <t>5fcf0176-e2c4-4f0f-a542-c3a34c021512</t>
  </si>
  <si>
    <t>9558de26-dce2-4b1e-ade6-65c080e3fbb9</t>
  </si>
  <si>
    <t>85f02eca-fc11-4916-8ed8-d9d88714372d</t>
  </si>
  <si>
    <t>ac75f2aa-c0ce-438d-acf0-bff57f570402</t>
  </si>
  <si>
    <t>67d9d60a-4863-4bea-8774-9ea1b32e7e65</t>
  </si>
  <si>
    <t>c8474a76-a7ef-4e2f-874c-07d32cb42848</t>
  </si>
  <si>
    <t>Barbara Hurel </t>
  </si>
  <si>
    <t>8d276335-36bb-445a-96b9-453ddf3fb669</t>
  </si>
  <si>
    <t>f3526f48-1a90-4ffc-92ae-3789b0439790</t>
  </si>
  <si>
    <t>Eugénie Catz Parizot</t>
  </si>
  <si>
    <t>a4c021da-2e24-4c96-bde8-670d25a917c6</t>
  </si>
  <si>
    <t>3cd293bc-4f2c-4dbc-a436-9f18f7075ce5</t>
  </si>
  <si>
    <t>f17d4ecb-03ae-4a39-bdac-57cf836b101f</t>
  </si>
  <si>
    <t>ea8c0ec6-fcbc-4b89-aae2-80f449cfbbc6</t>
  </si>
  <si>
    <t>1536c4df-0415-4666-8257-c0ca82cedb0e</t>
  </si>
  <si>
    <t>5fc5206d-d860-4d0e-986b-e8ebe52652e1</t>
  </si>
  <si>
    <t>b25f4699-b888-4d2f-86bb-f62504de879b</t>
  </si>
  <si>
    <t>9125b709-c4f0-48c1-a74b-82adf26735a1</t>
  </si>
  <si>
    <t>cabfec06-eff4-4194-afdd-08f6891590bd</t>
  </si>
  <si>
    <t>83b25be1-3732-4223-b685-a97d34f1194d</t>
  </si>
  <si>
    <t>af9d632e-2df3-427d-9ac7-6d6e0971bb69</t>
  </si>
  <si>
    <t>3a81b086-a292-4bcb-8d96-f2522c15e654</t>
  </si>
  <si>
    <t>Maria Alexandra Popescu</t>
  </si>
  <si>
    <t>bc1cb9db-9854-44e4-b117-b4aaeff2e687</t>
  </si>
  <si>
    <t>22f15d45-1df6-4315-8ab5-4c81c324b964</t>
  </si>
  <si>
    <t>3031f6b4-4230-4988-89fb-9e8c567839a7</t>
  </si>
  <si>
    <t>08d15aaf-a0cd-4d56-a17f-0ae7091a1204</t>
  </si>
  <si>
    <t>Massimo Del Giudice</t>
  </si>
  <si>
    <t>c3e3ad32-eeb4-4ded-8928-da34ace1d7c9</t>
  </si>
  <si>
    <t>9ce60edd-5fef-4486-b7e8-cedf85ce6139</t>
  </si>
  <si>
    <t>COLAFRANCESCO MARTA</t>
  </si>
  <si>
    <t>ef40934c-5610-4e41-a3aa-46ff05cd6850</t>
  </si>
  <si>
    <t>a40b9a8d-032a-4ce6-98df-b6885d2de62b</t>
  </si>
  <si>
    <t>c540b8cd-6e21-417a-af3a-f7167cadde71</t>
  </si>
  <si>
    <t>1bc85754-c728-453e-9bd4-9caaee38533e</t>
  </si>
  <si>
    <t>7939dc3a-df2d-4e70-9192-0408cba2d95f</t>
  </si>
  <si>
    <t>cf921372-3f25-4a69-9ad8-5859baa70490</t>
  </si>
  <si>
    <t>2c2810c0-fc49-43ce-87e6-552a261fca1a</t>
  </si>
  <si>
    <t>ef1c00cb-b76e-4a48-b225-4bca87d743e8</t>
  </si>
  <si>
    <t>69138b67-15a2-4fdd-8b50-982d0cf8f60c</t>
  </si>
  <si>
    <t>82a035e4-b597-4d64-919d-d82c1cd92d47</t>
  </si>
  <si>
    <t>010ce9bb-1c14-401a-bb01-60ad9cb50165</t>
  </si>
  <si>
    <t>Gabriel Remias</t>
  </si>
  <si>
    <t>Gabriel Remias </t>
  </si>
  <si>
    <t>820e44f6-be73-4020-9e34-586f02812572</t>
  </si>
  <si>
    <t>d01484f1-2700-4a3e-99ab-7f348d000ed6</t>
  </si>
  <si>
    <t>57516776-6b3e-452b-ab04-37b290e7a8c7</t>
  </si>
  <si>
    <t>7adf1c8c-4e24-4f3d-91fe-c0bf3f8498c5</t>
  </si>
  <si>
    <t>RUDOLFS VIRKO</t>
  </si>
  <si>
    <t>0992b38b-cc29-42a4-ad94-d0cbacbea11c</t>
  </si>
  <si>
    <t>fec1581a-e383-438b-913f-f1c3d228b036</t>
  </si>
  <si>
    <t>c1863c58-f3f6-484f-809d-c5b19293b3f0</t>
  </si>
  <si>
    <t>6d7c237b-7b68-4683-bc5c-65666809b979</t>
  </si>
  <si>
    <t>825d37aa-4937-4da4-b6e9-f95489e6cbf0</t>
  </si>
  <si>
    <t>f570a65a-504a-441b-a7cf-204022d31194</t>
  </si>
  <si>
    <t>2e8cd023-cc98-4496-9482-beea5abea24b</t>
  </si>
  <si>
    <t>c638ff98-c577-4a7a-a851-171bf5e0cd62</t>
  </si>
  <si>
    <t>11e43faa-9e10-4475-b2b8-dd183c155fd8</t>
  </si>
  <si>
    <t>cdc91df1-f590-41fc-8bb8-9f729453dddc</t>
  </si>
  <si>
    <t>Bernard Paul</t>
  </si>
  <si>
    <t>7e4b3ded-05be-44e1-b407-c3d3e156daa6</t>
  </si>
  <si>
    <t>c2f32f8e-7dfd-4378-998e-7f7acddc4010</t>
  </si>
  <si>
    <t>4834358c-53b9-4c7a-b24c-fdc0957e33f3</t>
  </si>
  <si>
    <t>e90f535a-22cd-4bde-be8b-0dc073ac57a7</t>
  </si>
  <si>
    <t>Antonina Smolarek</t>
  </si>
  <si>
    <t>2155f20c-7ac7-40ac-9a5a-e33d700d92ce</t>
  </si>
  <si>
    <t>998b5b87-2eca-43b3-b334-57ff12dd1230</t>
  </si>
  <si>
    <t>fff82f4c-6099-4ad7-b462-9e50557f743c</t>
  </si>
  <si>
    <t>60182b74-819c-4901-9682-e78bae47a39b</t>
  </si>
  <si>
    <t>38561db1-343b-43cd-8ef0-0d841f13a908</t>
  </si>
  <si>
    <t>576f973c-27b5-4aad-a3f1-35fcb368fff4</t>
  </si>
  <si>
    <t>a36c09a7-fa0c-4cc4-82e0-4832fafb8679</t>
  </si>
  <si>
    <t>706748ab-1fa2-4103-a17b-62fc54af977e</t>
  </si>
  <si>
    <t>2bd45469-dfb9-4f95-bf3d-afe1e36d0822</t>
  </si>
  <si>
    <t>e7c41f37-f559-41be-bf88-465fa4851a5f</t>
  </si>
  <si>
    <t>88d19178-844f-4036-a551-fcfe7c84fe7b</t>
  </si>
  <si>
    <t>8e93c115-334d-473c-98ec-3b8eb5dfbde7</t>
  </si>
  <si>
    <t>8d3440f5-1326-41ff-ac49-65f7cee51784</t>
  </si>
  <si>
    <t>01b85fa3-cf28-490b-b535-a37b3b575adc</t>
  </si>
  <si>
    <t>29dafd2b-9af6-43f8-8049-3c591da3f060</t>
  </si>
  <si>
    <t>9ba6762a-c643-47f8-b53a-45f661247693</t>
  </si>
  <si>
    <t>7d67ec0e-9ab5-449e-ae65-67ecc33ae1e6</t>
  </si>
  <si>
    <t>70d93fd4-0aeb-4630-b640-a26df0313f66</t>
  </si>
  <si>
    <t>12a21e0d-a847-4f40-b694-ac311ce90480</t>
  </si>
  <si>
    <t>6a9639f9-5fdc-4494-91a8-d4041c059579</t>
  </si>
  <si>
    <t>3cd2f0bb-0533-4595-a16f-547b7bbf2130</t>
  </si>
  <si>
    <t>db313d63-b74d-4dc0-ada8-5cbeec38d922</t>
  </si>
  <si>
    <t>Cristina Fagiani</t>
  </si>
  <si>
    <t>46aed1fd-0c20-4f92-80f1-173dd6e76831</t>
  </si>
  <si>
    <t>8d756e1f-6ac6-4ed7-a125-5bef53c0142c</t>
  </si>
  <si>
    <t>d45a33eb-81c5-41f6-9833-2203d248cc3a</t>
  </si>
  <si>
    <t>397ea932-017f-4714-ad81-2bc2b43bc8c5</t>
  </si>
  <si>
    <t>230de35f-b694-44bd-ab9b-55cc30ea6188</t>
  </si>
  <si>
    <t>16a0381b-bc52-4665-9aca-de0b2220e0b2</t>
  </si>
  <si>
    <t>c16f12ca-3e27-4359-9d2c-9d358f98e0a8</t>
  </si>
  <si>
    <t>979fc2ae-06ff-4444-87d6-92e6c7a48074</t>
  </si>
  <si>
    <t>f5fe533a-ac61-4971-9106-38702ebf35b7</t>
  </si>
  <si>
    <t>a0d4ea2c-14d5-478e-a4e2-5617997e5141</t>
  </si>
  <si>
    <t>236fc6e7-fe1a-472a-87f4-9b2295fc0e5a</t>
  </si>
  <si>
    <t>d13964f8-e155-4a5a-ba4c-a697bc685359</t>
  </si>
  <si>
    <t>944aa138-7d2c-4752-b03a-e6fe4d4f0938</t>
  </si>
  <si>
    <t>3dee4d15-36f4-44c8-a5f3-7fd308345c8f</t>
  </si>
  <si>
    <t>04389e42-58b1-4de5-9d7a-3f7ddafaa26c</t>
  </si>
  <si>
    <t>736a82b8-b6a5-4224-94bd-8cccfa32c2f7</t>
  </si>
  <si>
    <t>4c290b15-6fcd-4d35-b8d5-6fbe4d2e51d3</t>
  </si>
  <si>
    <t>ae2cc4f7-bb23-4faa-bc0b-dc7f6ea814bc</t>
  </si>
  <si>
    <t>499b9a0b-fa6e-4596-999f-075768067723</t>
  </si>
  <si>
    <t>4cb5ed2d-e5ad-44c9-bc6b-9b42b02507e2</t>
  </si>
  <si>
    <t>€8.72</t>
  </si>
  <si>
    <t>7280ade0-a364-4bf8-9f2c-aaa7992fe264</t>
  </si>
  <si>
    <t>6efa6889-8b23-4e43-921a-09598c0edd8a</t>
  </si>
  <si>
    <t>79cef3b0-a1b6-47b7-9b5c-f0b60209326d</t>
  </si>
  <si>
    <t>0bb3ec42-8f8a-4c96-98d5-8a4021d28177</t>
  </si>
  <si>
    <t>89e70c60-3a81-44b4-8592-bee85d26cc98</t>
  </si>
  <si>
    <t>08600747-7315-4e2e-ade8-e8aad915a6a4</t>
  </si>
  <si>
    <t>6b148ced-a8a8-403b-abc4-746abb5cf8bc</t>
  </si>
  <si>
    <t>1c4d72e7-f554-4bcb-aacc-d4bcd1b80ee9</t>
  </si>
  <si>
    <t>7a7a745f-f4bb-4c5f-8964-7270d7a16a32</t>
  </si>
  <si>
    <t>d3fa18f1-22bb-4b23-b3b0-cd0363da6b55</t>
  </si>
  <si>
    <t>470c9e93-3d5b-42e1-bac8-b7accc6689f2</t>
  </si>
  <si>
    <t>f02208e6-84e6-4e04-a2ab-29907b5edef1</t>
  </si>
  <si>
    <t>8fa5b82b-aa3d-481d-9481-cdb7c277ce17</t>
  </si>
  <si>
    <t>4db740db-5b11-47fe-9976-b6a0af8eddc3</t>
  </si>
  <si>
    <t>0a96863b-6923-4638-932c-fab088537827</t>
  </si>
  <si>
    <t>4135188e-623a-49f8-abc8-13acbc1f3b85</t>
  </si>
  <si>
    <t>d9e20fa2-1dda-4bc1-8c08-2c22e8903e16</t>
  </si>
  <si>
    <t>8766d354-da45-420d-85b1-8182a76302fa</t>
  </si>
  <si>
    <t>5f95003b-bfac-4d3a-9a0c-57776dc5c1e5</t>
  </si>
  <si>
    <t>ba6a8fc5-0b67-4eb8-b7c1-b71912b14bd1</t>
  </si>
  <si>
    <t>92167ef6-256d-4106-ad47-c912a6984bce</t>
  </si>
  <si>
    <t>e75739db-948f-4340-8b24-73e242394ef0</t>
  </si>
  <si>
    <t>e36a5230-fd5b-42d8-88a5-6a18e80e4c93</t>
  </si>
  <si>
    <t>8f876eae-a850-465f-a918-9f6aebff174d</t>
  </si>
  <si>
    <t>842fe3ce-5166-4231-b657-39b9a31c8efb</t>
  </si>
  <si>
    <t>36552a7c-88e5-4809-a8be-34adc7a388b4</t>
  </si>
  <si>
    <t>a0974faa-a953-4499-ae88-29635560ff89</t>
  </si>
  <si>
    <t>90ec9c28-320a-44c9-bb7f-8ddccb71c8f8</t>
  </si>
  <si>
    <t>6c357728-8606-4e53-b420-e1906569398c</t>
  </si>
  <si>
    <t>d503078e-f737-41a6-8bc4-7e56a7fb0269</t>
  </si>
  <si>
    <t>306aa32c-b457-454e-a69b-9ccf3dab1aaa</t>
  </si>
  <si>
    <t>be2ec64a-c062-498c-82b9-92f5585bf3c7</t>
  </si>
  <si>
    <t>8e6d696e-635f-4900-ba0b-97df69eb0f5f</t>
  </si>
  <si>
    <t>2bdb3000-d041-42b4-b98f-8c0a14a44164</t>
  </si>
  <si>
    <t>07816dde-d104-43fe-8dd7-27fae16c2a31</t>
  </si>
  <si>
    <t>15cac7a2-4cab-4269-b904-82c097285ab4</t>
  </si>
  <si>
    <t>e0971360-c0dc-4aba-bfda-649f12454bc4</t>
  </si>
  <si>
    <t>8f2e6259-fae4-426f-bfb0-7bb4e7fdb690</t>
  </si>
  <si>
    <t>a1e150b1-c8af-4fdd-9355-e4ca07775622</t>
  </si>
  <si>
    <t>e7e7ac58-4395-4e7f-a50a-f40752973869</t>
  </si>
  <si>
    <t>d10d5300-a54e-4dcf-b8f7-27b25f2c00be</t>
  </si>
  <si>
    <t>3edc188c-3457-476d-9498-213a48fc7cb9</t>
  </si>
  <si>
    <t>0bc2fbd1-4051-4bfa-95f8-1e6f81f5b5ea</t>
  </si>
  <si>
    <t>f562ab0d-56d1-4b53-a656-ad1200f8812b</t>
  </si>
  <si>
    <t>bbffe2de-b9f8-4c15-b96d-244e8933cad2</t>
  </si>
  <si>
    <t>5790d5ed-8f4c-495c-b4dc-eaa4428eb6f9</t>
  </si>
  <si>
    <t>59bffc6f-eb07-46dc-999e-c36f3ec6ed5f</t>
  </si>
  <si>
    <t>3aa742fd-494c-46bd-a7af-2ae98bfdb9d1</t>
  </si>
  <si>
    <t>0825e968-4d9b-4460-bc51-1dfa4a759f97</t>
  </si>
  <si>
    <t>5777290a-633e-4d39-8568-55be7bc7366e</t>
  </si>
  <si>
    <t>0494ded2-2fc3-4cf6-b87c-d26a6e66f83d</t>
  </si>
  <si>
    <t>703b20a9-a145-493d-b8ab-71e1dc2cb756</t>
  </si>
  <si>
    <t>8c8ca441-db26-4b70-8c31-bf5f931d3b73</t>
  </si>
  <si>
    <t>ba85caf4-185e-41f1-acac-a06a8c42a4bb</t>
  </si>
  <si>
    <t>78dfaeaf-7fa1-4108-9e8a-51a1f24bf0a3</t>
  </si>
  <si>
    <t>0ad1cb2a-2bfd-484c-b14f-ffe4f534cdb6</t>
  </si>
  <si>
    <t>c8863f26-5c83-4e52-b142-d3106c336e5a</t>
  </si>
  <si>
    <t>b32c4cd6-2888-45b8-89d3-b1db5c171db2</t>
  </si>
  <si>
    <t>9a21f529-5ac2-4d9b-aeb6-25528add1c0c</t>
  </si>
  <si>
    <t>05253cb5-b844-4aac-89b1-e6e7097355e5</t>
  </si>
  <si>
    <t>f904c604-7946-4030-9fbd-8ddfb6069b17</t>
  </si>
  <si>
    <t>cdc45587-3670-4823-8d09-763a87e99a06</t>
  </si>
  <si>
    <t>447047f0-2653-4296-b8a5-47e5a41952ff</t>
  </si>
  <si>
    <t>0648e93d-7980-4a67-9251-db52ae972119</t>
  </si>
  <si>
    <t>8223070e-ac41-427f-9833-9894a491b91b</t>
  </si>
  <si>
    <t>f17cbeeb-37d9-405b-b0f1-cc89e11fcbe7</t>
  </si>
  <si>
    <t>3d499a13-08f1-4571-95f1-23dbdcf0ded6</t>
  </si>
  <si>
    <t>e031eb31-830e-4ae5-aa7b-68a04323941a</t>
  </si>
  <si>
    <t>f639051f-423f-49a1-8a73-a7c38671a80c</t>
  </si>
  <si>
    <t>b4c898d0-36f3-4d51-9b27-ebe82e56bee7</t>
  </si>
  <si>
    <t>fdd2989f-8403-40af-be84-fb3f5febd3c5</t>
  </si>
  <si>
    <t>2e1fa5dd-6350-462f-a9e3-437ea74d798e</t>
  </si>
  <si>
    <t>8a2205d0-6b20-4694-bd46-1c6f5173e882</t>
  </si>
  <si>
    <t>b3a498a5-a247-4db9-a4cb-eb64a62c4d2d</t>
  </si>
  <si>
    <t>eabdbb0d-49de-41e5-86d9-cea750f6a170</t>
  </si>
  <si>
    <t>7fcda1a8-a128-4c8b-834f-6ad256b13ead</t>
  </si>
  <si>
    <t>2f84143e-fb00-440c-9b6c-1f6b28f4a893</t>
  </si>
  <si>
    <t>d172a533-d50d-434f-bd9f-afb9505c8c51</t>
  </si>
  <si>
    <t>bf1d138e-5c52-4b56-91fc-12696cc35645</t>
  </si>
  <si>
    <t>1c9ad452-8f8c-48e0-9b5f-e98d47fe30b6</t>
  </si>
  <si>
    <t>bdd25e2f-1c1b-4698-8dc7-a505f59a8b0f</t>
  </si>
  <si>
    <t>40c6d9a9-0208-468c-aa13-edac191624bc</t>
  </si>
  <si>
    <t>8bfadf6a-4522-4112-9823-794ba6c92fa7</t>
  </si>
  <si>
    <t>8c74d4cb-b3dd-45b2-9714-c883e3ad87ac</t>
  </si>
  <si>
    <t>3782296d-1356-49a4-9d48-fb7e90ea8258</t>
  </si>
  <si>
    <t>95b5b96b-0624-4965-a31f-59ac4bb0aad0</t>
  </si>
  <si>
    <t>9ab4e77f-cb13-4342-9ff9-ad0b99611f98</t>
  </si>
  <si>
    <t>6a11c7dd-0d20-45ab-9aa5-9eb752eb2cf8</t>
  </si>
  <si>
    <t>992b68a5-34c8-49c9-8852-adff0726f72b</t>
  </si>
  <si>
    <t>e0171b7f-b0b0-4d62-a374-afdd4298e04d</t>
  </si>
  <si>
    <t>15ca73c3-29a8-4745-bf42-19a759c0e6d8</t>
  </si>
  <si>
    <t>d3cc694f-d8b2-46cc-9315-9f33ec2d69e2</t>
  </si>
  <si>
    <t>9636ab82-fdb8-4bf3-837d-8c0078961782</t>
  </si>
  <si>
    <t>e1ab8644-02a4-46bb-9b85-757e18d6a62f</t>
  </si>
  <si>
    <t>0e11e2cb-8326-406e-8736-fb3cc18d8212</t>
  </si>
  <si>
    <t>864a02a5-9785-4cfe-bcae-5b2d66fae50a</t>
  </si>
  <si>
    <t>f819823a-4ac2-42d7-ad31-b33d7bdef4e1</t>
  </si>
  <si>
    <t>7aec5d62-c689-4a44-a7e9-59027c8c9d0d</t>
  </si>
  <si>
    <t>7bb67a3b-5301-44fa-97b3-002932544cdf</t>
  </si>
  <si>
    <t>bc4d1744-aaf3-492e-9e5d-bcf70cd8f411</t>
  </si>
  <si>
    <t>bb08fae1-74c7-4a56-b9c7-826e266a452f</t>
  </si>
  <si>
    <t>79048ef0-bc7e-4021-a3b8-f296ea85d81c</t>
  </si>
  <si>
    <t>1a4417e7-3d8a-499e-b639-b2791e08fd55</t>
  </si>
  <si>
    <t>ac4eee9f-64c8-4ec6-9cb3-ac719e076204</t>
  </si>
  <si>
    <t>6d543f5f-9ee6-41ea-b1ad-a12d63ebd4c8</t>
  </si>
  <si>
    <t>59cccdcc-bfbd-4b3f-8971-4bb0810002e2</t>
  </si>
  <si>
    <t>56336ec0-248d-4571-89c8-afc051d2b371</t>
  </si>
  <si>
    <t>28606ce4-cf63-4701-a120-b383ba803f75</t>
  </si>
  <si>
    <t>5716e3cc-55a6-48ac-b644-35f6563b935d</t>
  </si>
  <si>
    <t>935a18fa-962e-451f-a1a9-a00b72021fa9</t>
  </si>
  <si>
    <t>cfbee740-04e9-4f9e-88c4-614f2f3d9e6d</t>
  </si>
  <si>
    <t>90d7af01-568d-413c-937b-df581be4c2d5</t>
  </si>
  <si>
    <t>bffd282e-d195-4760-884d-65a6673dcb35</t>
  </si>
  <si>
    <t>7e7b554d-2fc6-461f-b657-2a8fbba9a12d</t>
  </si>
  <si>
    <t>c702b9de-05d7-42fe-aaf4-c7320693a4ab</t>
  </si>
  <si>
    <t>€0.73</t>
  </si>
  <si>
    <t>4ef839eb-64fb-486e-9a4a-b4a61d80312b</t>
  </si>
  <si>
    <t>1b0e58fc-f9d5-4dc1-ac06-19e73666ee65</t>
  </si>
  <si>
    <t>75d3dce5-2fe1-4660-9390-76c7c85d2cd2</t>
  </si>
  <si>
    <t>65570199-bba8-4e67-90b7-60c1ff1cfef7</t>
  </si>
  <si>
    <t>833e7a37-f51a-4180-b8fe-2bf826c13a43</t>
  </si>
  <si>
    <t>8f19c3f4-f295-44cd-8c27-8c05a44e83ca</t>
  </si>
  <si>
    <t>Ralf Schmidt</t>
  </si>
  <si>
    <t>0082cd58-be8c-426d-bfc8-5aa07c5f019c</t>
  </si>
  <si>
    <t>e1047e6b-78ac-4407-ad0d-bd9ad3dc6ea6</t>
  </si>
  <si>
    <t>7e867f80-cdb2-415a-8c5f-b7a8a8613bea</t>
  </si>
  <si>
    <t>4e9e5baf-333c-42dd-9da3-7db221517d9f</t>
  </si>
  <si>
    <t>d340a234-263e-4e46-a961-67977d251473</t>
  </si>
  <si>
    <t>1c0dc8fe-85ab-4c7d-8b85-9675f8f5be90</t>
  </si>
  <si>
    <t>27786fc7-1e47-49ba-94df-2aa02c961042</t>
  </si>
  <si>
    <t>6dc4b22e-b4d2-4d8d-b1e3-e77a96394df3</t>
  </si>
  <si>
    <t>95d1cb10-1108-4db7-b903-c9b6dbee6295</t>
  </si>
  <si>
    <t>02fd0065-2734-4869-93b1-a116735d1769</t>
  </si>
  <si>
    <t>b59652de-f1f6-4472-bb89-6799cbc21b09</t>
  </si>
  <si>
    <t>16900f37-8e23-4fa4-8261-3e9ff20484b0</t>
  </si>
  <si>
    <t>8f997523-0b50-4666-bbb0-b878f2a0254f</t>
  </si>
  <si>
    <t>a55483e3-015d-4542-81c6-2afaba240978</t>
  </si>
  <si>
    <t>15f4b188-364f-481f-92e4-6098233ff5d3</t>
  </si>
  <si>
    <t>7c79b694-1d0f-44f3-a892-660d1202ca83</t>
  </si>
  <si>
    <t>b228f2b0-178c-4a80-a2c8-8196cc601d2b</t>
  </si>
  <si>
    <t>6c6f8472-ab63-4d66-a7b9-7866e7d48a21</t>
  </si>
  <si>
    <t>17d06e2d-6516-47ae-8b83-dde155b93f71</t>
  </si>
  <si>
    <t>88d2e696-7921-4676-89ca-9e5d32177ffe</t>
  </si>
  <si>
    <t>6b84861f-bee1-4c13-b876-82ef07b8bb87</t>
  </si>
  <si>
    <t>7afd436a-b32d-41a4-85f5-afea2d9753a1</t>
  </si>
  <si>
    <t>489c6dc4-24b4-498d-9ec0-c3efd3c23da7</t>
  </si>
  <si>
    <t>98f368f7-c0a0-4cdc-ba16-88edf5913261</t>
  </si>
  <si>
    <t>804be957-d1b7-4c77-80a9-707e60946e35</t>
  </si>
  <si>
    <t>358ecae3-83c9-4e49-b2bb-f32bddbb90dc</t>
  </si>
  <si>
    <t>e889f797-55f9-4ef0-a8f4-590baa674369</t>
  </si>
  <si>
    <t>d4a596c6-9bfd-4f8d-b77d-ea2a5d39a455</t>
  </si>
  <si>
    <t>0f19a7ff-0616-4593-ab89-345d47557a4e</t>
  </si>
  <si>
    <t>7a2a67f1-9258-4108-8651-5ead5eaad962</t>
  </si>
  <si>
    <t>bb186f1a-179f-447d-8ba0-3b3a63110158</t>
  </si>
  <si>
    <t>81ecda58-8ddc-475d-aeb6-b2c1efc27800</t>
  </si>
  <si>
    <t>7a102fcd-3db0-43e3-93e9-817730e04feb</t>
  </si>
  <si>
    <t>70004e23-df41-45b8-9217-bf279160bf8d</t>
  </si>
  <si>
    <t>b19ad440-b33b-47a0-971f-9a2bf99a9303</t>
  </si>
  <si>
    <t>2e2d7333-f12f-49c6-b970-e808c8651372</t>
  </si>
  <si>
    <t>348eebe2-430f-4b5c-b511-0abd79f73c42</t>
  </si>
  <si>
    <t>97c8281a-3831-4767-a8da-b7b43fa1df88</t>
  </si>
  <si>
    <t>b05c69e2-5126-4015-9e3f-69a87d94b82e</t>
  </si>
  <si>
    <t>a1ede1f3-5bff-4667-8d0b-f424da57476c</t>
  </si>
  <si>
    <t>86a6cb37-c6be-4948-ac2c-9859460c0e33</t>
  </si>
  <si>
    <t>95be6cd7-5d3e-43e4-a107-84a69af4c04a</t>
  </si>
  <si>
    <t>46a753ff-f978-4735-96c6-a74fce1ee9a6</t>
  </si>
  <si>
    <t>dc74fd27-e6c4-49ff-8a04-82f8e1fbf04b</t>
  </si>
  <si>
    <t>7ab0c529-fdce-4ba8-9447-b4cf5f384944</t>
  </si>
  <si>
    <t>fcbf6d83-7204-4046-9689-6af85e5d25ff</t>
  </si>
  <si>
    <t>8ade9d56-fbd0-44d1-a700-0c5cc5f140d7</t>
  </si>
  <si>
    <t>b4be068e-5a53-49c8-9bec-946e76249cd6</t>
  </si>
  <si>
    <t>6005b380-9daa-4f9d-b62b-eb0da46dd343</t>
  </si>
  <si>
    <t>a43e15c4-516f-4640-8963-809358f7d274</t>
  </si>
  <si>
    <t>52aca741-409f-4d37-8ece-7f378d3f34b6</t>
  </si>
  <si>
    <t>3c403cac-83dc-4a0d-9837-88e3b6815f67</t>
  </si>
  <si>
    <t>e987950d-7bb3-4c7c-8dcf-38a4aa611027</t>
  </si>
  <si>
    <t>12aec0c4-0f3e-447d-8d63-d70131b1d643</t>
  </si>
  <si>
    <t>cd352513-c6a0-4365-84fb-e94b7321bd2f</t>
  </si>
  <si>
    <t>b69ebb40-07ff-4f0e-b29a-b35a6ac8c250</t>
  </si>
  <si>
    <t>13801d52-2f0c-4434-a88b-b56badeeeb88</t>
  </si>
  <si>
    <t>59223091-e809-4a5d-81c8-e8ebad9e7d07</t>
  </si>
  <si>
    <t>5cde6e16-fb97-47ed-a6c9-b4536dd2fffc</t>
  </si>
  <si>
    <t>863abc03-0504-464d-9aa6-fd354d9921f7</t>
  </si>
  <si>
    <t>15465302-2284-45ed-bc95-c25728214186</t>
  </si>
  <si>
    <t>ef4ee3fc-a024-42fd-90d8-800f73300959</t>
  </si>
  <si>
    <t>6635c4ff-d7b2-4221-ba02-908d7d9c3624</t>
  </si>
  <si>
    <t>4c619c3f-f734-4636-9f4e-8d3820c3a0a9</t>
  </si>
  <si>
    <t>24d6e981-ad29-467f-a401-316e60e15c45</t>
  </si>
  <si>
    <t>69cb27ee-bcdb-40db-97e2-64f4e6ff2de3</t>
  </si>
  <si>
    <t>c532ba0f-60a0-4df2-858c-c6c4318f4e21</t>
  </si>
  <si>
    <t>d97b206e-4c1e-43da-a5dc-66e8ba16e66f</t>
  </si>
  <si>
    <t>0800dac6-b99b-4189-a4a2-92b5452e8bd8</t>
  </si>
  <si>
    <t>7ab90f97-8e99-4d3c-9ae9-a7a9ec901580</t>
  </si>
  <si>
    <t>cde9f049-5cdb-4544-abf3-60e27fc2bb24</t>
  </si>
  <si>
    <t>6f66c26f-df2b-4f74-9b91-a37e481c63a8</t>
  </si>
  <si>
    <t>803cc3ba-daf5-45f4-9557-d27d31b55e2b</t>
  </si>
  <si>
    <t>f83702eb-fcf7-46f5-9020-f8fd1e21eb47</t>
  </si>
  <si>
    <t>2d84e2af-4883-4d2e-9ca9-5cdbd78c276f</t>
  </si>
  <si>
    <t>8298c292-d542-4ddf-a38b-1e70d19ae91e</t>
  </si>
  <si>
    <t>9a5f4042-37e1-4b08-bd7a-504a8bd30160</t>
  </si>
  <si>
    <t>aebd1bc4-dcf2-4e10-a408-8b9e993ca567</t>
  </si>
  <si>
    <t>0c096d13-96cb-4bdc-94b0-bc4608413246</t>
  </si>
  <si>
    <t>276e5b57-c659-4c3c-95fa-acce90281eaa</t>
  </si>
  <si>
    <t>50d4a51e-658f-4e8e-b88e-65950bb4f272</t>
  </si>
  <si>
    <t>b8c9cf6f-037d-464e-a8d7-05db5d07f2e2</t>
  </si>
  <si>
    <t>e3272389-edbe-4234-a5c3-a0557e6b22d3</t>
  </si>
  <si>
    <t>9ffa5846-f428-48c0-9e01-e3c8a4a1d46f</t>
  </si>
  <si>
    <t>4ca024dc-9bc4-4277-96ce-7c86de3cb42f</t>
  </si>
  <si>
    <t>fa0ba4bb-cf2e-4e6e-a1b7-4b1505a434cf</t>
  </si>
  <si>
    <t>4282aa32-db79-4aae-927b-952e054325ca</t>
  </si>
  <si>
    <t>6c10f998-8f54-4d09-bb04-fa25506323c2</t>
  </si>
  <si>
    <t>39a99999-83e8-4a9a-acb5-67f2a13b54de</t>
  </si>
  <si>
    <t>8b5fc231-678a-4867-8265-7de7d366036a</t>
  </si>
  <si>
    <t>423c1166-4ddb-4a55-84bc-415faf52a309</t>
  </si>
  <si>
    <t>238e7bb6-0d3c-4dc4-806b-5887d4d5b6c7</t>
  </si>
  <si>
    <t>cba5b065-2358-413d-b18d-f0fb416e000a</t>
  </si>
  <si>
    <t>b3b0344f-b053-4220-a946-bb093ca485c9</t>
  </si>
  <si>
    <t>7d316def-6bed-45d4-aaea-0518b1186d42</t>
  </si>
  <si>
    <t>f4ae2b91-2c2c-4f85-8f64-a2f114cd05c7</t>
  </si>
  <si>
    <t>7b371479-a05d-48b3-a49d-f294c2f8ccb8</t>
  </si>
  <si>
    <t>a229be68-ab91-40f5-9cf6-9c97fc408a58</t>
  </si>
  <si>
    <t>aa1b618a-1762-4702-a5b3-21e64da2cbd2</t>
  </si>
  <si>
    <t>c4962e2d-1245-4396-94dd-c72c3e8a8d5e</t>
  </si>
  <si>
    <t>fa28f9dd-f733-4dc3-bf18-e8139863894a</t>
  </si>
  <si>
    <t>630e11c2-7f7f-46eb-8d83-3c5203884ee1</t>
  </si>
  <si>
    <t>6bd54541-733a-4f7f-a9cc-45510c7f7939</t>
  </si>
  <si>
    <t>8b0a501a-cdd2-4f96-abcc-eb4b06169de1</t>
  </si>
  <si>
    <t>0ef364d9-3583-4461-8911-a3aa6818e24f</t>
  </si>
  <si>
    <t>045a7832-2f41-4bd7-b847-5cdfe0f9c7bd</t>
  </si>
  <si>
    <t>5c11ac97-6e70-4c6b-8568-1c3c3869bd94</t>
  </si>
  <si>
    <t>147f192b-23cf-43b1-88dc-bed8ed6181c6</t>
  </si>
  <si>
    <t>5ce4775f-4cbb-4b8c-b6e4-c0c5a5e2d581</t>
  </si>
  <si>
    <t>5333e0d4-e221-4a98-875f-2a22d4a0bd71</t>
  </si>
  <si>
    <t>16ea0a81-bcb8-43af-8737-a2fc7ce69aa1</t>
  </si>
  <si>
    <t>30fff8e1-1c38-4303-8d80-8c1a47588560</t>
  </si>
  <si>
    <t>e30c1b85-e409-4c3a-a118-d3bb0942004b</t>
  </si>
  <si>
    <t>Yildiz S Malik</t>
  </si>
  <si>
    <t>cdbf933f-bec8-47c0-a3c1-37b61d60b2eb</t>
  </si>
  <si>
    <t>0626f61f-55ae-44ca-85a6-9acb5f6549ba</t>
  </si>
  <si>
    <t>a36d3918-fdb9-404b-b290-58ae5b58e282</t>
  </si>
  <si>
    <t>dfd8074f-f80c-488c-bd71-37f3f9120f92</t>
  </si>
  <si>
    <t>9fc619d0-504e-468d-9762-c7099b3babbb</t>
  </si>
  <si>
    <t>56ef31dc-30ac-49b1-b515-37c9ebffb11d</t>
  </si>
  <si>
    <t>f5bba3f9-2603-493e-8e36-5f690786c6c6</t>
  </si>
  <si>
    <t>b902dad0-c56b-4374-88bd-4aa7ed77d55d</t>
  </si>
  <si>
    <t>7a676781-6bfa-4fb7-9c11-f82b518818ff</t>
  </si>
  <si>
    <t>36186234-b284-4254-8a9d-29bed31e94fe</t>
  </si>
  <si>
    <t>e545b08c-cd7a-49b3-bd7b-b884eee738ae</t>
  </si>
  <si>
    <t>04eedbc6-3139-45e9-a3e2-c5c65d02c1a4</t>
  </si>
  <si>
    <t>Vidushi Purbay </t>
  </si>
  <si>
    <t>9ae65ad9-db94-4026-9125-20bc7c2e04c0</t>
  </si>
  <si>
    <t>67d1888b-fda2-4160-9f98-032e32d63815</t>
  </si>
  <si>
    <t>756a8523-ff9c-451c-bed4-4036d75c4be7</t>
  </si>
  <si>
    <t>0467ca58-a2d3-4559-a165-9e67116875dd</t>
  </si>
  <si>
    <t>a75b475c-6a8c-4e68-9621-14122bc63ae0</t>
  </si>
  <si>
    <t>7ef59f8f-acb5-4fa5-9207-71f6b905745d</t>
  </si>
  <si>
    <t>f40e6554-de5f-441d-8fe0-7e62e753830f</t>
  </si>
  <si>
    <t>3cd7e1a1-b404-4d86-8054-11ba028d69e1</t>
  </si>
  <si>
    <t>b2f194a9-cb00-44a0-98c1-f5d977b1989e</t>
  </si>
  <si>
    <t>472f2f90-4220-4b55-86c5-48b922d65258</t>
  </si>
  <si>
    <t>4d1d64d7-4d06-4810-99f2-853c95722fc7</t>
  </si>
  <si>
    <t>23e0cecf-e48d-40a0-9a8a-d1903cb3ba8f</t>
  </si>
  <si>
    <t>d23099e1-f70b-4062-91ae-48f04192892f</t>
  </si>
  <si>
    <t>68340cd1-da58-4260-b8a3-8b7cba105e09</t>
  </si>
  <si>
    <t>d4428238-32ff-4ddd-8cb9-69a700b6848b</t>
  </si>
  <si>
    <t>4d2fcab0-9d4c-4eda-ba4b-5939941207fa</t>
  </si>
  <si>
    <t>53a4197d-efa0-47ff-975c-70111dfdde32</t>
  </si>
  <si>
    <t>9ef3b056-84b5-4473-beed-6c94ba97108d</t>
  </si>
  <si>
    <t>f912b2f7-9526-40f4-9c17-5b999a67120d</t>
  </si>
  <si>
    <t>1e02cd24-beaf-4bf7-b7fa-532661a2cfaf</t>
  </si>
  <si>
    <t>18304dcb-a38c-4830-92c8-71f64b8bcb3f</t>
  </si>
  <si>
    <t>6da84f5e-00c2-4eeb-923d-a84c1853c971</t>
  </si>
  <si>
    <t>f77cc9cf-bccb-4414-b980-a287eebc84cf</t>
  </si>
  <si>
    <t>46dd57b3-40ac-42e7-bf5d-8cff03639f67</t>
  </si>
  <si>
    <t>497db3e2-78e3-4517-a062-fac3b06d7be6</t>
  </si>
  <si>
    <t>8f8c3b85-d196-40cc-9f55-3b93efa38830</t>
  </si>
  <si>
    <t>249b688c-e54a-4fa0-8469-9907bfb9f26a</t>
  </si>
  <si>
    <t>7a35f3d8-efe0-4300-8ca9-6ba22f179889</t>
  </si>
  <si>
    <t>abeceb3a-e870-4ba0-ba51-1fec9c4bc988</t>
  </si>
  <si>
    <t>fa9524e7-4755-40fc-a2d0-ad946482aa90</t>
  </si>
  <si>
    <t>7258774c-4855-4133-9749-14a4df24f492</t>
  </si>
  <si>
    <t>0259c467-3c6f-493b-b847-723df0ef6a34</t>
  </si>
  <si>
    <t>Nicolas Puttre Perez-Llorca</t>
  </si>
  <si>
    <t>2e9e2066-d83a-4d22-a78f-5c54942e396f</t>
  </si>
  <si>
    <t>8f51e588-05e0-4bc4-9a47-860660d43a06</t>
  </si>
  <si>
    <t>b5bdcaee-986f-461f-91d9-dc9c0b5effd1</t>
  </si>
  <si>
    <t>53af907c-e621-406e-a867-42d9ced23f36</t>
  </si>
  <si>
    <t>f5b3f7c2-8b06-4725-9ca7-22defc39b77d</t>
  </si>
  <si>
    <t>272252a5-69cf-4999-aa74-236690efb837</t>
  </si>
  <si>
    <t>c94c5c50-6242-4dfe-9876-b95adc3f5aea</t>
  </si>
  <si>
    <t>d0c7fb2a-e1ea-48ba-8443-2b537f33c264</t>
  </si>
  <si>
    <t>f0b52de7-a44d-4d30-98e6-cad8bd57a164</t>
  </si>
  <si>
    <t>3e3b8c0e-b1fc-41ce-b7c0-4cd669b115f4</t>
  </si>
  <si>
    <t>a38409b9-64b2-492e-80d8-cafdcf087994</t>
  </si>
  <si>
    <t>821767be-4769-4f15-89b5-d887124922e4</t>
  </si>
  <si>
    <t>6f71a636-be13-4962-94a8-1031e9ba2bf9</t>
  </si>
  <si>
    <t>e79b0a2e-0af5-4c51-9d95-6cc61c3f5568</t>
  </si>
  <si>
    <t>de17cac4-26bd-4f9f-bfc0-2136f4841677</t>
  </si>
  <si>
    <t>a2cfe74b-8619-4326-aca2-003ce83e22ad</t>
  </si>
  <si>
    <t>8e2f9fb1-43bd-4774-9c6a-040de3583b47</t>
  </si>
  <si>
    <t>04486161-5620-435d-bfcd-c311831d936c</t>
  </si>
  <si>
    <t>1f68a1b8-112e-477e-a451-2bcda574fa21</t>
  </si>
  <si>
    <t>b888d555-d71c-4c95-86f9-f9bc5fe86502</t>
  </si>
  <si>
    <t>4a6919e6-7817-43cc-9493-7c7f6839fe11</t>
  </si>
  <si>
    <t>0356eb8b-053d-4c94-b069-74b9d1fffacd</t>
  </si>
  <si>
    <t>32395df1-2744-48f3-ac5d-59a2338b52c0</t>
  </si>
  <si>
    <t>3940db9c-df38-48e5-8c0e-fb61302a7498</t>
  </si>
  <si>
    <t>0d63cc9d-8d4f-4beb-afc7-acbd2cf4200e</t>
  </si>
  <si>
    <t>3bf1dc9f-1457-4dd3-a737-46c883713fe3</t>
  </si>
  <si>
    <t>c7a97274-0b7d-4a73-b715-35cf2199f4d1</t>
  </si>
  <si>
    <t>cf537f94-d940-44af-99e6-464b9c056ad0</t>
  </si>
  <si>
    <t>17377750-f991-4d68-9bfa-8683c551f318</t>
  </si>
  <si>
    <t>c7b14b86-18b7-49bb-9002-94ac4bd5842e</t>
  </si>
  <si>
    <t>2663a84f-fee1-42ca-8349-6cb1db58ab3e</t>
  </si>
  <si>
    <t>ddb74be9-2fb0-4835-bd81-d55abaac8537</t>
  </si>
  <si>
    <t>2f2c48da-b5b7-4e3f-8906-cdde865faff3</t>
  </si>
  <si>
    <t>7b6704ee-5d18-485d-8883-3390ce7a8302</t>
  </si>
  <si>
    <t>02368bc7-0338-4e55-8e28-1499ccf5af65</t>
  </si>
  <si>
    <t>09277e03-b110-4b82-9bc4-37b4732f73be</t>
  </si>
  <si>
    <t>c803c5c4-b0d3-4d95-a213-f1086d3141bf</t>
  </si>
  <si>
    <t>012894eb-f465-47e1-bccd-87fe4caac9e5</t>
  </si>
  <si>
    <t>57932b5e-a25e-49a8-8254-449cab458f10</t>
  </si>
  <si>
    <t>4eb5e894-67aa-4191-acaa-fda0d744a846</t>
  </si>
  <si>
    <t>97650257-15bb-492b-ba45-ffdd99d783ed</t>
  </si>
  <si>
    <t>e2caf0ac-7541-4693-be5b-08cfc1d91aaa</t>
  </si>
  <si>
    <t>fbd907f5-0fb0-4ed8-865f-93a335cb2d88</t>
  </si>
  <si>
    <t>e56b85a0-35dc-4e79-be6a-e89061ac2ef5</t>
  </si>
  <si>
    <t>f27aa0aa-6179-4b40-97b9-7e2d9beec031</t>
  </si>
  <si>
    <t>f4f78d0e-1db7-4ea1-82d3-fd925fbf810f</t>
  </si>
  <si>
    <t>f1f54fbc-b568-4083-8261-9f6a18c88174</t>
  </si>
  <si>
    <t>1f99febb-7934-4a34-b137-b28cef3310b3</t>
  </si>
  <si>
    <t>0d88d350-04d2-4975-9ebf-538aff912732</t>
  </si>
  <si>
    <t>f6f03802-04f4-48d3-9f57-b8a3404cd8d7</t>
  </si>
  <si>
    <t>2472b3ca-a620-4404-8205-48178ca97558</t>
  </si>
  <si>
    <t>3bc43a10-cb4e-4666-b418-06be1303021c</t>
  </si>
  <si>
    <t>225d8265-7be4-4016-9aab-f29bbfa625c5</t>
  </si>
  <si>
    <t>d6c9e90e-8b74-4a0e-aa18-ffa969a90a4e</t>
  </si>
  <si>
    <t>b19f0108-dc57-4100-8611-de586fe6e7e3</t>
  </si>
  <si>
    <t>05ef314a-e174-4009-b4d2-22f7975639b9</t>
  </si>
  <si>
    <t>27f727b0-7fb5-4cfa-852d-5800f74a85f2</t>
  </si>
  <si>
    <t>49c99b8e-a455-49c9-8810-b250b819e70a</t>
  </si>
  <si>
    <t>0ffff875-8b45-470e-b6c7-fd719b5645f2</t>
  </si>
  <si>
    <t>51198b63-6f1a-4b9e-aa9b-144495674bca</t>
  </si>
  <si>
    <t>d5a8c286-916e-4511-b79f-bc5e531f6548</t>
  </si>
  <si>
    <t>e21ff923-db22-4b20-8934-2d4e7d92f558</t>
  </si>
  <si>
    <t>2c27b7ae-694e-46aa-a7b6-b68f307b2089</t>
  </si>
  <si>
    <t>d44b72c0-0131-455f-b2b4-288e430c7d92</t>
  </si>
  <si>
    <t>9de7f1f3-dad4-4994-9443-e148bfb30336</t>
  </si>
  <si>
    <t>c0854bd7-79d5-4dc1-bc3b-f725d769719b</t>
  </si>
  <si>
    <t>af1e541b-be98-4be2-ae07-b065f96e3d61</t>
  </si>
  <si>
    <t>827d666b-51cc-4a1f-bb60-a43c3836092c</t>
  </si>
  <si>
    <t>a29bfe21-a14f-44fe-b470-537865935811</t>
  </si>
  <si>
    <t>74425eb9-7d99-4947-b925-72f4851a3b75</t>
  </si>
  <si>
    <t>f8225a03-3f99-4204-8eee-3f4be6d3e26b</t>
  </si>
  <si>
    <t>248ba8b1-4a75-4ac8-a3e3-d38b4a68c936</t>
  </si>
  <si>
    <t>0ffb4239-bb7a-4321-917d-f2016890631b</t>
  </si>
  <si>
    <t>a35127d7-9136-4113-81e9-b63622b85ddc</t>
  </si>
  <si>
    <t>4781d156-5f0c-4947-94d5-dd39aa0ad310</t>
  </si>
  <si>
    <t>c7cccb7f-d891-4cd4-bbb1-706b10d0bdea</t>
  </si>
  <si>
    <t>c76e3b84-973e-475a-afce-8c2c560228f6</t>
  </si>
  <si>
    <t>c8a8a676-9aa0-459e-b156-391573226bef</t>
  </si>
  <si>
    <t>715a70e0-4914-4dfd-bfea-4a3e67c62be3</t>
  </si>
  <si>
    <t>d3b5e826-39cd-4268-9aae-c2b69e664075</t>
  </si>
  <si>
    <t>88d46702-a3b3-4f31-9f2d-586568e6c552</t>
  </si>
  <si>
    <t>16549b7a-49ec-4650-9f86-0a5ba4b40cfa</t>
  </si>
  <si>
    <t>1c3d50e8-e996-4135-930d-1d5f6419e1ed</t>
  </si>
  <si>
    <t>f0324800-48f9-43d2-8bba-072e2ac0fabc</t>
  </si>
  <si>
    <t>04615da3-b88f-496a-857d-e9ed684d91f5</t>
  </si>
  <si>
    <t>cec6bd19-baf7-4474-94a6-159573b8c6eb</t>
  </si>
  <si>
    <t>af34a51b-79c4-4af9-9bd0-85abf9aa8747</t>
  </si>
  <si>
    <t>9647c344-4647-4937-945c-197d5f9e13a4</t>
  </si>
  <si>
    <t>6fb5999c-7243-4756-9a8e-2941842a90c9</t>
  </si>
  <si>
    <t>3d7b8b9f-e41a-4cd2-898c-9191609ad130</t>
  </si>
  <si>
    <t>Yavor Manchev</t>
  </si>
  <si>
    <t>99eed6e4-fa4f-4913-a48f-bc4713102faf</t>
  </si>
  <si>
    <t>17e8c69b-3f2d-47b4-a8e5-82b59f314154</t>
  </si>
  <si>
    <t>5100dc67-ce0f-479e-9fcc-94cc2fcaf7c1</t>
  </si>
  <si>
    <t>0da6ffbb-9de9-4348-971c-334b4202c112</t>
  </si>
  <si>
    <t>e4e76bdd-a118-4a1c-bdc4-2f047eac60c6</t>
  </si>
  <si>
    <t>0cb3e3f2-734d-4a5c-ae34-1861a5e6199d</t>
  </si>
  <si>
    <t>54c5ece9-5656-4414-945b-ae47cfb98e30</t>
  </si>
  <si>
    <t>64ebf75d-f5fa-448e-8cd8-c4320c6b160b</t>
  </si>
  <si>
    <t>71bbac1e-dc10-4085-83a8-5b59ac138f50</t>
  </si>
  <si>
    <t>4f7c65ca-455f-4e11-aa33-9f629fe01e6a</t>
  </si>
  <si>
    <t>6638e51e-649b-4f02-b5b2-1a67509c2e2f</t>
  </si>
  <si>
    <t>1f67fb31-4603-4bfb-b3c8-c1faa79cf78f</t>
  </si>
  <si>
    <t>€0.47</t>
  </si>
  <si>
    <t>€2.61</t>
  </si>
  <si>
    <t>08cb0649-b262-41a8-80a0-41041a76d1ef</t>
  </si>
  <si>
    <t>51c9c034-d1fb-4db9-b3b5-c7c320e5e77c</t>
  </si>
  <si>
    <t>7a696128-432a-41fe-8c49-632a2b97c45d</t>
  </si>
  <si>
    <t>535f6976-ea98-4b5f-80f3-778627b94152</t>
  </si>
  <si>
    <t>c3eeee41-db70-4c69-ae54-720923887d04</t>
  </si>
  <si>
    <t>1d560e89-af11-4ea1-9e4a-c07b0ad8c754</t>
  </si>
  <si>
    <t>16f5045e-4770-447d-a150-cde2063b3810</t>
  </si>
  <si>
    <t>aba56609-8f1f-44e2-b467-63ee53461b31</t>
  </si>
  <si>
    <t>364e8679-6234-4aaf-919e-12009ea7af0a</t>
  </si>
  <si>
    <t>4ff712ef-7057-4b5a-bed9-d057ae6315f6</t>
  </si>
  <si>
    <t>69b0eff2-649a-47cf-9862-e362204e6ea1</t>
  </si>
  <si>
    <t>29dee6d7-854d-49d9-924e-410d966c62e3</t>
  </si>
  <si>
    <t>b625bc15-1357-4051-9fdb-fb9b3b4e7563</t>
  </si>
  <si>
    <t>3558f9f6-3f2c-4ff5-899f-41e7123340df</t>
  </si>
  <si>
    <t>85453160-ba68-4d7c-91d1-9d06a2d93c09</t>
  </si>
  <si>
    <t>0a8fcfad-f818-4940-a9fa-91142536e626</t>
  </si>
  <si>
    <t>6622b146-310d-48f8-b881-220452dfac4a</t>
  </si>
  <si>
    <t>c0952230-2ba5-43ab-bcf3-877284a10fa1</t>
  </si>
  <si>
    <t>e8fbab44-578b-4cb9-acc3-9ec2ab504a25</t>
  </si>
  <si>
    <t>022d3e26-53a7-467f-b618-060f91eea667</t>
  </si>
  <si>
    <t>ce88839d-1bda-413c-a90a-ccb5226ffc7f</t>
  </si>
  <si>
    <t>7c8a77d1-4d48-418c-a57f-a0a38fc3b3f5</t>
  </si>
  <si>
    <t>03bb8dc5-1663-4e11-81f0-c2f2dceed3c6</t>
  </si>
  <si>
    <t>fe4a0082-00bd-40a4-afaa-4f73fd4c7139</t>
  </si>
  <si>
    <t>cc9848b8-31fe-43d5-b837-b52fc14d35c3</t>
  </si>
  <si>
    <t>22bd7af3-fa8d-487a-8524-b8296bd5743d</t>
  </si>
  <si>
    <t>98910db5-7f2c-43f2-987a-b58a805c6ad6</t>
  </si>
  <si>
    <t>d8e2f561-d5c7-4e3e-ba58-b7ba57199306</t>
  </si>
  <si>
    <t>ac59a85b-f4fc-41d1-bac8-758eb9d07a12</t>
  </si>
  <si>
    <t>a606df13-d724-48ac-81f5-b742da9babe8</t>
  </si>
  <si>
    <t>7a2f5236-ec80-44b9-8e31-19f8460c9de8</t>
  </si>
  <si>
    <t>88447cd5-74c4-4dbd-8379-75fc6f216418</t>
  </si>
  <si>
    <t>8d064e3a-50b5-4ec8-bd2e-3c81d794dba8</t>
  </si>
  <si>
    <t>845d860d-57e4-49b7-80ea-059aea46a39f</t>
  </si>
  <si>
    <t>e62c05b6-ffcb-4907-8ec8-2540d822d177</t>
  </si>
  <si>
    <t>27836a27-517e-4b77-98ab-b266f84b2353</t>
  </si>
  <si>
    <t>27275c78-d462-4d17-97c3-8a525d87ba5d</t>
  </si>
  <si>
    <t>bf63114f-cc2f-4718-a704-2940113a7014</t>
  </si>
  <si>
    <t>a0aefc03-1f55-4eb7-a605-48cba697ad24</t>
  </si>
  <si>
    <t>2f560eb3-097c-41e9-a689-ada9bf2a7bc1</t>
  </si>
  <si>
    <t>d2b2a48d-6f83-4d73-87f1-4f4b7d302ce9</t>
  </si>
  <si>
    <t>919932d2-000f-44e1-88e9-5fe3379a1486</t>
  </si>
  <si>
    <t>f3f0a813-1974-4e68-81e4-7ca54e12ceb9</t>
  </si>
  <si>
    <t>3f178c7b-f16e-4cc5-a5a6-f7711390b8c7</t>
  </si>
  <si>
    <t>14bec10b-8d33-48ef-9de0-58b4228c9123</t>
  </si>
  <si>
    <t>9ebb92eb-e73c-4ced-936b-913431c114f2</t>
  </si>
  <si>
    <t>2e063e49-4648-4fc3-83cb-b85a233d2bd6</t>
  </si>
  <si>
    <t>e3a9ac15-4f4a-400f-860f-981e9ba9fe76</t>
  </si>
  <si>
    <t>4ea6d49d-49e0-4458-9c12-e9aea9921293</t>
  </si>
  <si>
    <t>f7f40438-9a71-400b-9e9a-06fd962d1e5b</t>
  </si>
  <si>
    <t>4f27f1f9-d7ed-4c80-80d6-6c61ade92921</t>
  </si>
  <si>
    <t>996f8b88-346b-49aa-837a-b7d2663b85e9</t>
  </si>
  <si>
    <t>54bd2257-b867-4004-b1e0-1a7df731c22a</t>
  </si>
  <si>
    <t>a1dd9ea9-0329-4952-bf09-8d10e09aed2e</t>
  </si>
  <si>
    <t>cfc12dda-87b6-483a-8fa8-b739f380cffa</t>
  </si>
  <si>
    <t>85b4797b-6bf8-4466-81f2-a7d352ef01ea</t>
  </si>
  <si>
    <t>d7c3f470-3e4f-4012-aa63-35ea69e9f1ac</t>
  </si>
  <si>
    <t>41c71a70-4271-468f-9e6c-045b40de0515</t>
  </si>
  <si>
    <t>c0c61dbd-d705-47dd-be73-62891c346c3e</t>
  </si>
  <si>
    <t>92eb5f7d-0159-49ef-9f8c-cb7de981eb47</t>
  </si>
  <si>
    <t>aec97694-b866-4ebb-91ca-26131a6f764e</t>
  </si>
  <si>
    <t>€13.34</t>
  </si>
  <si>
    <t>€0.89</t>
  </si>
  <si>
    <t>f54d5b14-728b-4fef-9f64-257b287c6927</t>
  </si>
  <si>
    <t>da18ac15-e6bc-41cb-83cf-e5a656744bf5</t>
  </si>
  <si>
    <t>7087b999-5897-4861-8072-de29df319a01</t>
  </si>
  <si>
    <t>e8e19f34-3638-4217-a386-703c5489b593</t>
  </si>
  <si>
    <t>f1984589-d0ec-48d1-81c1-51a872497555</t>
  </si>
  <si>
    <t>907fca62-ea80-4c95-a4df-7c8d2c0fffc3</t>
  </si>
  <si>
    <t>cb494329-c003-4fbd-977f-c913ce08caca</t>
  </si>
  <si>
    <t>b2403518-9692-40c5-868d-65e7cc28977c</t>
  </si>
  <si>
    <t>a1fec324-07c0-4df5-9434-3de90c8c9244</t>
  </si>
  <si>
    <t>c35ebc79-7dc1-4bb4-8a4a-9b05178815de</t>
  </si>
  <si>
    <t>ab1465b4-a319-40a9-879f-f141d93d93a3</t>
  </si>
  <si>
    <t>89d5a954-1e69-4733-a986-b67f7b4bf55b</t>
  </si>
  <si>
    <t>76ca5397-bc7e-4014-b47b-abaa44975f36</t>
  </si>
  <si>
    <t>9ddd620a-0b14-4539-87c4-7fbc5a573165</t>
  </si>
  <si>
    <t>6808d82f-7f20-4e8a-bd4a-d3a0c4c538e6</t>
  </si>
  <si>
    <t>f4d8c04c-590a-47e3-b057-04be50275209</t>
  </si>
  <si>
    <t>97efec18-fe74-46a3-a672-a396e2b63b5e</t>
  </si>
  <si>
    <t>50527635-5441-4b4f-bb28-282310909711</t>
  </si>
  <si>
    <t>6624abd6-b573-4b8d-8f9d-454024b3b816</t>
  </si>
  <si>
    <t>2285e648-eea1-44c9-a8cb-2e35cd4eba7e</t>
  </si>
  <si>
    <t>e4f4a6e5-27f8-4119-8753-d8cefd5c4472</t>
  </si>
  <si>
    <t>d6f01491-cbb8-4176-92c6-f7cf262387dd</t>
  </si>
  <si>
    <t>6653e0d2-9a04-43c0-95e4-8e4d636a6d11</t>
  </si>
  <si>
    <t>5fa11ffd-75c1-44a5-b5ae-b0f9c92f864f</t>
  </si>
  <si>
    <t>025ee127-657a-456a-8f97-2d2db39de316</t>
  </si>
  <si>
    <t>af91ae92-7272-419e-b77a-f25f882fcd9d</t>
  </si>
  <si>
    <t>7383fe9b-0739-4345-a710-efd9c84fda69</t>
  </si>
  <si>
    <t>fd2126be-8929-4700-9216-3a0e54bc15ce</t>
  </si>
  <si>
    <t>e8b8d725-95ba-4de7-bfb2-32434c91bf26</t>
  </si>
  <si>
    <t>89e23e49-ba2d-4fd7-a5ee-a48e3200508c</t>
  </si>
  <si>
    <t>-€20.60</t>
  </si>
  <si>
    <t>-€0.60</t>
  </si>
  <si>
    <t>-€20.00</t>
  </si>
  <si>
    <t>6cb78c26-8f23-4944-9545-47112734af54</t>
  </si>
  <si>
    <t>df665266-645a-46c9-95b3-acaf16b6d00d</t>
  </si>
  <si>
    <t>856ad903-e8b9-40e6-a5fc-52bc882d50f1</t>
  </si>
  <si>
    <t>2ba7ef43-6036-4dc0-862f-33e53f8ce06e</t>
  </si>
  <si>
    <t>f5bf0f44-772c-4434-800b-772320d8766d</t>
  </si>
  <si>
    <t>fa0d55a3-bfcd-470f-8dc9-dc88d585035a</t>
  </si>
  <si>
    <t>37f04313-de6d-40f7-8860-29eafa39b2af</t>
  </si>
  <si>
    <t>9891c75a-4beb-467c-932a-6f16ab5d1dc9</t>
  </si>
  <si>
    <t>76293356-80e2-4e04-adab-a52974247f96</t>
  </si>
  <si>
    <t>€25.00</t>
  </si>
  <si>
    <t>€0.78</t>
  </si>
  <si>
    <t>8b95475d-b342-4461-ab21-e6ebff27eb26</t>
  </si>
  <si>
    <t>c1e5f2dd-a7a5-4b94-b200-4b0d5ba3ecfc</t>
  </si>
  <si>
    <t>047b0870-d0f5-4ed0-8c70-470cf768da1b</t>
  </si>
  <si>
    <t>1a5b18cf-6547-424e-aac7-7848766f86d1</t>
  </si>
  <si>
    <t>65f8d7b9-6a1d-4556-b834-40fb959f8978</t>
  </si>
  <si>
    <t>ab109c45-f331-4af3-a23f-f047e0ae43c4</t>
  </si>
  <si>
    <t>€0.93</t>
  </si>
  <si>
    <t>83f88e4b-5c15-4527-b395-fececc90df72</t>
  </si>
  <si>
    <t>3270522d-b065-490b-9276-2fa02a335592</t>
  </si>
  <si>
    <t>€20.00</t>
  </si>
  <si>
    <t>€19.32</t>
  </si>
  <si>
    <t>efb23112-9167-4667-8bb1-5499a6aec58e</t>
  </si>
  <si>
    <t>f492010e-6399-4ef2-a7e3-385172492377</t>
  </si>
  <si>
    <t>384aa45f-8108-4143-9cf9-04e940a65382</t>
  </si>
  <si>
    <t>43b69e28-4f6d-497e-9e46-195a93320307</t>
  </si>
  <si>
    <t>39ddd446-d04e-4cb0-a321-d35a65fca6c2</t>
  </si>
  <si>
    <t>2da2fbc3-08aa-41a2-9cd8-ff027bce275d</t>
  </si>
  <si>
    <t>72bbd9f6-f9f0-4f2e-9579-35310414a837</t>
  </si>
  <si>
    <t>c515f4fb-0511-4ae5-a60b-a83240d1cc4c</t>
  </si>
  <si>
    <t>0336071a-2d14-4825-ad08-d77a19156b33</t>
  </si>
  <si>
    <t>76871688-981b-4a0e-97f8-b5389b1458b3</t>
  </si>
  <si>
    <t>€15.00</t>
  </si>
  <si>
    <t>9a41854b-ee62-4bbe-ade8-6bb6bd92f3f2</t>
  </si>
  <si>
    <t>f22b7ae5-dfe5-4057-8c15-2fd2e561d910</t>
  </si>
  <si>
    <t>17961ce3-400f-4a7d-8e0a-f6ca77206c88</t>
  </si>
  <si>
    <t>5d9f9588-be91-4db7-b52d-1ecb87acc53c</t>
  </si>
  <si>
    <t>f8f2ea21-b3ba-4c59-abde-644687500e60</t>
  </si>
  <si>
    <t>56876acf-b4b0-498b-9301-3f53085d9f48</t>
  </si>
  <si>
    <t>8dc30348-3801-4e27-9116-51597c11aa77</t>
  </si>
  <si>
    <t>8f5685b4-fd6f-40c3-8b9d-6e17ab195924</t>
  </si>
  <si>
    <t>1d3b3430-4033-4998-af3d-01f99cfdf001</t>
  </si>
  <si>
    <t>3c80c8e7-49a2-40f3-bc33-bffcca564e24</t>
  </si>
  <si>
    <t>9e19b36a-66d7-45f1-93b9-8606f0485b8f</t>
  </si>
  <si>
    <t>3443db08-3d6d-4e69-a856-c338b9968ce6</t>
  </si>
  <si>
    <t>2c0e5a3d-4e36-4bb1-bb6a-19709ae6135f</t>
  </si>
  <si>
    <t>7a9a913b-275b-4748-a0e4-5379330a547e</t>
  </si>
  <si>
    <t>113c9962-0138-418c-82e4-76e9f54cd677</t>
  </si>
  <si>
    <t>5fad6195-a2d1-447c-8bce-a36107a8ce2a</t>
  </si>
  <si>
    <t>1cb351e7-0ede-44e8-9a2a-b460de9dd1d6</t>
  </si>
  <si>
    <t>a99559d8-6359-4390-9a6e-53bca7635a4b</t>
  </si>
  <si>
    <t>7707234f-488e-4c12-aa70-c88758b22740</t>
  </si>
  <si>
    <t>296274bf-0ab6-45f5-a6cc-0208ff9a8ce9</t>
  </si>
  <si>
    <t>7301c8ea-f650-495b-bdf7-67f346a323c3</t>
  </si>
  <si>
    <t>9f84a716-9727-4e60-bb0f-c6ea7aa2fc14</t>
  </si>
  <si>
    <t>b1a212f4-b96a-43ab-b917-351af9234283</t>
  </si>
  <si>
    <t>44ad31ed-a4ee-472b-925a-307e634ae181</t>
  </si>
  <si>
    <t>88135fd4-9c11-4644-916d-26c0da1262a8</t>
  </si>
  <si>
    <t>aaca3686-1bfe-445e-99c0-0ac410e18f00</t>
  </si>
  <si>
    <t>3137e4d7-6a5e-440a-9a2b-c9f9a9dd50b9</t>
  </si>
  <si>
    <t>a3361486-d776-4654-af24-6e5c0026fed8</t>
  </si>
  <si>
    <t>c5849768-bf52-4548-a0fc-35bc824b0644</t>
  </si>
  <si>
    <t>43fa440c-e7d4-4072-a1a4-b0e085936629</t>
  </si>
  <si>
    <t>934cdfe4-cd0f-44a4-8408-0da75af051a7</t>
  </si>
  <si>
    <t>d845586f-8efb-4d01-bbe9-ba9f9e5cf66a</t>
  </si>
  <si>
    <t>ad5cddd3-ce2b-49a5-9da1-166538742461</t>
  </si>
  <si>
    <t>6c0cd10b-68ea-4973-a3fc-376477f52850</t>
  </si>
  <si>
    <t>66ff9825-2d5e-44ce-bc82-29cac055e042</t>
  </si>
  <si>
    <t>d645e904-5158-4631-b30f-e0c332d68b00</t>
  </si>
  <si>
    <t>31a6030a-6676-4f1e-9370-d2b1da16c025</t>
  </si>
  <si>
    <t>7a1e807b-2c8e-4b93-b661-27c8e20192c6</t>
  </si>
  <si>
    <t>bbd28260-8bb5-484d-b826-77ca3d829f4f</t>
  </si>
  <si>
    <t>2ab7ffb4-36ac-4715-aac5-3747ef798270</t>
  </si>
  <si>
    <t>dff9cd24-47e9-4d3c-a937-b2be46d4dbc5</t>
  </si>
  <si>
    <t>40503391-6d2d-4124-8dd9-c2df75e5d082</t>
  </si>
  <si>
    <t>f4a2bb71-e577-4be8-818e-12898c530461</t>
  </si>
  <si>
    <t>ac8b987b-99c8-4934-92df-756368916e9c</t>
  </si>
  <si>
    <t>695402f9-cdd9-4851-b824-1d9fbe53552c</t>
  </si>
  <si>
    <t>dae58bef-59b9-4fc7-813a-abd873925176</t>
  </si>
  <si>
    <t>e34c78f6-bb3d-4e58-9a71-915cb77cf374</t>
  </si>
  <si>
    <t>cdde7a06-c724-42a5-8c26-9147e261fa85</t>
  </si>
  <si>
    <t>0cb6acce-0466-4df8-9042-1ef3b1060faa</t>
  </si>
  <si>
    <t>718cb00f-a456-4252-aa1e-42523f9aa48b</t>
  </si>
  <si>
    <t>4fc57bf3-6d1d-4c48-866e-97005cf0369b</t>
  </si>
  <si>
    <t>a2122974-d5fd-4f72-8398-be1b4e3657f4</t>
  </si>
  <si>
    <t>49f0a0a8-0f5c-4bac-9db8-ee9c6aa5fffc</t>
  </si>
  <si>
    <t>c7d03916-182e-4129-8667-b63a893460b1</t>
  </si>
  <si>
    <t>68fa7ed1-d64d-4616-bcc1-23df4fed7a73</t>
  </si>
  <si>
    <t>1e5ad53e-4b1e-45a1-8ae6-1f44fb2a5bb7</t>
  </si>
  <si>
    <t>c074e896-be8f-4b61-8c63-d5c97f173bcf</t>
  </si>
  <si>
    <t>9ee6c7ec-64b5-41e6-bcd3-a1fff9369735</t>
  </si>
  <si>
    <t>c481e2a5-5c05-4a11-b1ab-d4e0b2fbf7d6</t>
  </si>
  <si>
    <t>4f6f35a3-973c-404e-9607-f69a41746155</t>
  </si>
  <si>
    <t>26dd4771-351d-4ef7-b1f4-d5b43caf78ff</t>
  </si>
  <si>
    <t>26c5d063-4604-4481-a68a-5f0562167425</t>
  </si>
  <si>
    <t>97da2053-8845-4cf1-b84e-6b272d506a6c</t>
  </si>
  <si>
    <t>58f2b8e8-a9bb-44a9-9da3-900f5ede3409</t>
  </si>
  <si>
    <t>€0.59</t>
  </si>
  <si>
    <t>3e5ec303-86f7-4b3a-96e2-ff27b130e81e</t>
  </si>
  <si>
    <t>cd756a22-95ba-4e36-b738-5177ece19985</t>
  </si>
  <si>
    <t>70dfe786-27a8-47e3-959a-c4942de9743c</t>
  </si>
  <si>
    <t>7b4ebbbf-8e97-460c-853b-38ca03be6115</t>
  </si>
  <si>
    <t>3b2b51aa-2095-4bd7-a623-db7fdc0d0aaf</t>
  </si>
  <si>
    <t>9d731b7a-bdaa-4e8c-8306-8247f9910a48</t>
  </si>
  <si>
    <t>35ad3e62-2449-46eb-b8e4-4460331ce58d</t>
  </si>
  <si>
    <t>328b3865-7b7a-4562-bc1d-8e4fae184f7a</t>
  </si>
  <si>
    <t>b521a96d-8d7d-4ef0-b1bb-eeaf94dcf7a0</t>
  </si>
  <si>
    <t>c272d37a-a510-41c4-b259-82196b5c77b6</t>
  </si>
  <si>
    <t>d84a0939-146b-4a31-8b24-218bdb52e4b1</t>
  </si>
  <si>
    <t>8ab4d177-39ca-42bf-b642-05d7e5b9ce9b</t>
  </si>
  <si>
    <t>0c2aff7b-1e5a-4011-9dc0-699b5de7a9d8</t>
  </si>
  <si>
    <t>7925b366-f71e-4327-b25b-e11a79d89583</t>
  </si>
  <si>
    <t>3fc8ac27-83ba-4a48-a6e3-960d45bf2f7e</t>
  </si>
  <si>
    <t>193a7cb4-aaac-4221-8919-8e2e82e59f25</t>
  </si>
  <si>
    <t>8a4049a1-9844-42c7-8d25-93e18a4e0857</t>
  </si>
  <si>
    <t>1dbb40ac-1dcf-4296-89fa-957dd5723ba9</t>
  </si>
  <si>
    <t>39170b2e-c4f8-4baa-a399-5e38e777bf06</t>
  </si>
  <si>
    <t>b07db206-b5c8-482c-844b-587569058d7b</t>
  </si>
  <si>
    <t>e578f802-54e5-47bb-8777-dd9e4c239d51</t>
  </si>
  <si>
    <t>a422b5af-62e4-4e3d-adc2-065f5ab3b4e4</t>
  </si>
  <si>
    <t>€20.60</t>
  </si>
  <si>
    <t>€19.20</t>
  </si>
  <si>
    <t>9de9819e-06c0-4c0f-8720-517929b163e8</t>
  </si>
  <si>
    <t>16b55c40-568a-4606-b9fb-4877a5b73e83</t>
  </si>
  <si>
    <t>6fe29159-5390-4734-9907-eb9010a88aaf</t>
  </si>
  <si>
    <t>79d21faf-144b-408e-8d9d-e16995cd7301</t>
  </si>
  <si>
    <t>57e9ff58-4b9c-45d6-896b-aa44471a74a5</t>
  </si>
  <si>
    <t>ea1f6134-b3fc-4239-a8a0-b5d7562e5072</t>
  </si>
  <si>
    <t>d0237cae-2da4-483a-b085-32c12c1d0d27</t>
  </si>
  <si>
    <t>10ae5b80-47d3-40a0-946d-62876c97987d</t>
  </si>
  <si>
    <t>1774e9f5-1c4b-44b8-985d-961326decfbc</t>
  </si>
  <si>
    <t>9febb1d4-e767-452b-9ace-e6042966bd81</t>
  </si>
  <si>
    <t>bb306632-7a57-4ef3-801a-3a5997342234</t>
  </si>
  <si>
    <t>4dc0695c-b11a-46b7-93ce-dd9d55d14450</t>
  </si>
  <si>
    <t>864b304e-2ca1-46cc-b32d-05ed74fbe5f7</t>
  </si>
  <si>
    <t>be5e57c1-0e8e-45da-9ee2-8e8ea80e14b9</t>
  </si>
  <si>
    <t>bd43265f-401c-4d1c-8e69-73e88c55d522</t>
  </si>
  <si>
    <t>85bbd5d9-acfa-4715-8023-309453237933</t>
  </si>
  <si>
    <t>ed4cfb98-f9dc-4165-a7db-75ec0ae450f5</t>
  </si>
  <si>
    <t>9a2682d3-c014-4c3d-ae43-ebb5bb06418a</t>
  </si>
  <si>
    <t>00dba15f-d6bb-45e7-b70d-f3b4315ecbbd</t>
  </si>
  <si>
    <t>8e1d5589-3e09-4d62-9236-c2d156111ca9</t>
  </si>
  <si>
    <t>b5918ddc-8c8b-439d-9626-d93414316cfb</t>
  </si>
  <si>
    <t>d41488e9-bd7d-4e3b-92bf-b479a0d15d49</t>
  </si>
  <si>
    <t>€35.00</t>
  </si>
  <si>
    <t>6d2e3522-f2c3-43cb-9dc4-7d3a3f6349fe</t>
  </si>
  <si>
    <t>abd7ae56-a1a1-4466-a735-f536af43c822</t>
  </si>
  <si>
    <t>f1b67b1f-ad1b-4c3a-aadf-02fc3111f4a3</t>
  </si>
  <si>
    <t>16fc4270-2048-4c27-afed-f91b12807f9d</t>
  </si>
  <si>
    <t>82e7a797-51c4-4e9f-adc9-7e43f031f369</t>
  </si>
  <si>
    <t>e681c640-bd16-4a3e-9eb1-885763b3f2ec</t>
  </si>
  <si>
    <t>25e3c224-ca6d-458d-944c-c673f9126b6e</t>
  </si>
  <si>
    <t>60bf9e0d-9f76-4577-a2ef-ec74dcf60d72</t>
  </si>
  <si>
    <t>cda5aef7-537a-4f2e-b9c0-113e3d527b01</t>
  </si>
  <si>
    <t>67d93ccd-a830-4107-8617-0550035f84e7</t>
  </si>
  <si>
    <t>3c2a92fa-4e29-4636-bde2-ef1ca5a4e413</t>
  </si>
  <si>
    <t>08a822b1-9e14-4282-a6cf-5131ede01057</t>
  </si>
  <si>
    <t>0e0e70da-34f3-4cd2-a2d1-217b4acce048</t>
  </si>
  <si>
    <t>21b61d57-3496-4013-b59c-b83135be785b</t>
  </si>
  <si>
    <t>15374c10-da16-4e8a-a802-6fbc6293752d</t>
  </si>
  <si>
    <t>9e579cad-f23c-4de4-be1d-5e42a124ef24</t>
  </si>
  <si>
    <t>9f9cbf35-ef51-4eb4-b5ab-05bbf62c7478</t>
  </si>
  <si>
    <t>216511d4-573d-47d9-aef2-d1a322358078</t>
  </si>
  <si>
    <t>26d4b34f-d7f1-4318-a13f-aacee8880c47</t>
  </si>
  <si>
    <t>€30.00</t>
  </si>
  <si>
    <t>€29.13</t>
  </si>
  <si>
    <t>abe44400-04f4-44c7-9d46-b2b84647b894</t>
  </si>
  <si>
    <t>1c58af39-faae-4069-9c4a-a68da6da38c7</t>
  </si>
  <si>
    <t>02b8f8b0-1dec-454e-b3d9-abc00c8354df</t>
  </si>
  <si>
    <t>0de7d6c5-85ff-424a-bd3a-fc36725972af</t>
  </si>
  <si>
    <t>e7938a37-43ed-4225-84ca-f53a0f6dcb69</t>
  </si>
  <si>
    <t>3cfbcbf4-6174-4e83-885c-a330b0de2162</t>
  </si>
  <si>
    <t>49b0df2b-8eee-44bf-a414-9b7847faf4ff</t>
  </si>
  <si>
    <t>8571ee9b-a25f-47dd-a633-b0912f7664fc</t>
  </si>
  <si>
    <t>ebd10def-4da4-41f6-96f8-d32fa8cfdf87</t>
  </si>
  <si>
    <t>d4bd211d-b496-443b-b7b3-d87f6fc12c0c</t>
  </si>
  <si>
    <t>eef8b0df-fae0-4272-9148-f524263788cb</t>
  </si>
  <si>
    <t>365eeed7-430f-4108-af6f-9129d7683b03</t>
  </si>
  <si>
    <t>391c5724-d1fc-4683-845f-51e78b54d005</t>
  </si>
  <si>
    <t>1103b13c-98b3-4d0d-a842-48b334d2abdd</t>
  </si>
  <si>
    <t>29e61612-c80e-4abf-964d-4c78edc6f2bb</t>
  </si>
  <si>
    <t>4114a1b9-5628-4335-8ab3-a2517dded972</t>
  </si>
  <si>
    <t>fd9345f2-c6e1-4c54-8185-9560835db4b3</t>
  </si>
  <si>
    <t>82809639-b32e-44eb-bf04-616710f9066b</t>
  </si>
  <si>
    <t>5935871d-4bed-4685-82d7-8f5fc6d097b8</t>
  </si>
  <si>
    <t>343ccf7d-d3d9-4b12-bf5c-f609a4a47b9a</t>
  </si>
  <si>
    <t>a1d2713e-c3d2-48ae-8f23-b688b38a837f</t>
  </si>
  <si>
    <t>e3e6b0be-df50-432a-9e26-c35491dfd7b7</t>
  </si>
  <si>
    <t>28cdfb78-768a-4d29-b1f1-3d06fdc35725</t>
  </si>
  <si>
    <t>dd5e69e8-d4b4-458b-b937-48cc57706045</t>
  </si>
  <si>
    <t>2a3e11aa-715f-40d1-a7de-ae3c6a04764c</t>
  </si>
  <si>
    <t>9e21cd48-fb3a-451d-975a-e9961a42abb5</t>
  </si>
  <si>
    <t>3204d1bf-ec19-4815-921e-bf887b865c21</t>
  </si>
  <si>
    <t>1cef98ec-e2fe-40e1-8132-259f0b53e5f1</t>
  </si>
  <si>
    <t>84c94ac9-2984-4168-9bf1-5b9b6271b1f0</t>
  </si>
  <si>
    <t>c603279b-e791-462d-b4ea-b93e75a95215</t>
  </si>
  <si>
    <t>e780ddc5-c34b-4e61-9b40-053a25d6f2b3</t>
  </si>
  <si>
    <t>1afcef4a-80ac-48b1-84dc-47a890cbeb8e</t>
  </si>
  <si>
    <t>c534ae8c-f7ad-4382-b86d-34ce73c831be</t>
  </si>
  <si>
    <t>765b3dc7-fb76-412a-9ddb-b74e26f4176b</t>
  </si>
  <si>
    <t>96ced75e-bf86-4364-9c4f-34b537b5282a</t>
  </si>
  <si>
    <t>41c41f14-3bf6-4df2-a6c9-e5698b0bc071</t>
  </si>
  <si>
    <t>7b626e4f-efa2-4b38-9702-b7c8e203ed53</t>
  </si>
  <si>
    <t>2926cdd0-9c89-4f21-baf2-1575eb283b91</t>
  </si>
  <si>
    <t>24a327b9-532f-4632-b9d6-0be724f75f58</t>
  </si>
  <si>
    <t>a9b6b0fe-54a6-408c-94cc-c393d8d34622</t>
  </si>
  <si>
    <t>7df7289f-7cd9-4fa0-889c-17cb84d6b558</t>
  </si>
  <si>
    <t>f4e9759f-8f9f-4b4c-b2ba-3132b84d543f</t>
  </si>
  <si>
    <t>cfc31fd4-a4b7-4fd3-ab68-c3751e5d3b7d</t>
  </si>
  <si>
    <t>a3c5a409-c764-446f-a068-9318c1c6c5fe</t>
  </si>
  <si>
    <t>b166e7e2-6414-4ddb-8cba-9f22a407cce2</t>
  </si>
  <si>
    <t>0074ffb0-58c8-465c-9ddb-e2da9fcb0b56</t>
  </si>
  <si>
    <t>ff1e12da-6534-4404-97bf-c2331f29bc8e</t>
  </si>
  <si>
    <t>e3d01add-0467-4eb6-9334-3530a4118ca0</t>
  </si>
  <si>
    <t>ffe55b16-1304-48a9-b5cb-a1584627b7a3</t>
  </si>
  <si>
    <t>c5688884-0eea-4cce-8bb6-2f507330c36f</t>
  </si>
  <si>
    <t>b62b746c-f62f-4eaf-9ed9-9fa90bdd8dfc</t>
  </si>
  <si>
    <t>a6c1e236-6aa4-41a5-be28-e4b8a3e878f4</t>
  </si>
  <si>
    <t>53c08041-c028-404f-81d9-ffc1dc93abad</t>
  </si>
  <si>
    <t>8db5f0bb-5e78-45cb-a78a-d4b804d99e00</t>
  </si>
  <si>
    <t>7735408c-fddf-48c8-877c-7050b11eda2d</t>
  </si>
  <si>
    <t>€1.08</t>
  </si>
  <si>
    <t>€23.92</t>
  </si>
  <si>
    <t>db46b94c-0ddd-46be-9ec6-259d2bfbfc69</t>
  </si>
  <si>
    <t>fdaf6ecf-1da1-4e1a-babd-a96377c285da</t>
  </si>
  <si>
    <t>fe533009-6d2b-4777-861d-27691b7db257</t>
  </si>
  <si>
    <t>6c66a5df-7cf4-4f63-8557-e86be5654f82</t>
  </si>
  <si>
    <t>d05676a6-4294-4638-ad94-950bf86d0c10</t>
  </si>
  <si>
    <t>ab7826b9-3141-4c37-9e6c-2d8de702b45c</t>
  </si>
  <si>
    <t>8da58bc3-128a-4ae0-aee1-755e7935d90e</t>
  </si>
  <si>
    <t>0beb897b-84c8-41a4-9872-7b02f2781d3b</t>
  </si>
  <si>
    <t>Emma torberger</t>
  </si>
  <si>
    <t>757bea68-d655-4e5f-9470-939ed2792637</t>
  </si>
  <si>
    <t>25b0a250-2d3c-4022-810f-ac90ddfe571a</t>
  </si>
  <si>
    <t>6142739a-2bd6-4145-b139-810d1ab96d4a</t>
  </si>
  <si>
    <t>78bd26ea-4a09-4b55-b816-4469fef98b25</t>
  </si>
  <si>
    <t>515ee822-a317-4fae-8fcb-04411d58d20c</t>
  </si>
  <si>
    <t>51ba17d2-0a90-4aa9-b6c0-3b2296e2b58f</t>
  </si>
  <si>
    <t>52031335-3d65-4fc7-beb1-6909e1106d09</t>
  </si>
  <si>
    <t>6d7253f6-653b-40da-b81e-d4578df71137</t>
  </si>
  <si>
    <t>bd45f5ca-ab17-4d81-b8f0-8aae1b5b2a6d</t>
  </si>
  <si>
    <t>218a63d8-bd77-4d21-9e45-48838a84b903</t>
  </si>
  <si>
    <t>5c4000af-083e-41a2-9616-49d950cde34b</t>
  </si>
  <si>
    <t>f334a9e0-b881-4c84-90b1-4f675da71f65</t>
  </si>
  <si>
    <t>5cbd6b45-239c-4472-812a-52b5712e1982</t>
  </si>
  <si>
    <t>256a8b73-6424-4ea7-b50b-7c5900eef2b3</t>
  </si>
  <si>
    <t>2e36ef41-95f0-4c1c-bcee-17c53a442261</t>
  </si>
  <si>
    <t>2bb7486f-d9ab-446d-be76-088b0ace4f67</t>
  </si>
  <si>
    <t>78e862bb-030e-4ef8-b198-dfb82b7a0040</t>
  </si>
  <si>
    <t>df7e247a-b726-4dcc-8234-9efd2b6cb06a</t>
  </si>
  <si>
    <t>6bd7bf3e-31fb-48d3-a15a-f07399712a4e</t>
  </si>
  <si>
    <t>a6779cf0-eeb0-4638-a77f-16a1da92def7</t>
  </si>
  <si>
    <t>ff5897dd-39be-4c3e-8ce6-4aacf8bfd4d0</t>
  </si>
  <si>
    <t>757873c7-720e-4c81-b88d-e86a7157117b</t>
  </si>
  <si>
    <t>4c5b4df8-929d-4b08-ae5d-48264da7136d</t>
  </si>
  <si>
    <t>9f8afda8-8064-4844-ad04-1819b0913501</t>
  </si>
  <si>
    <t>9474e929-0951-4ab8-8b1c-6b8333e168b8</t>
  </si>
  <si>
    <t>b3b3b918-1772-43a5-874e-0427732bc03c</t>
  </si>
  <si>
    <t>ZHOU SI JIA</t>
  </si>
  <si>
    <t>898d7d2c-f492-4dbe-9bd3-093d4160afaa</t>
  </si>
  <si>
    <t>2e8c9568-d38a-4e6b-8660-9042b15ec386</t>
  </si>
  <si>
    <t>c3226793-6f80-4f70-9c13-ffb7bc93f470</t>
  </si>
  <si>
    <t>12b138ba-21c6-45b0-ae76-7fdab18a2e47</t>
  </si>
  <si>
    <t>bd3cfbdc-2387-45d5-a46e-2a4ebedb7f56</t>
  </si>
  <si>
    <t>137a63a2-b671-48be-b8f8-926b93c12750</t>
  </si>
  <si>
    <t>€40.00</t>
  </si>
  <si>
    <t>€38.94</t>
  </si>
  <si>
    <t>0cdc16b1-f1fb-4175-a281-97bdec046199</t>
  </si>
  <si>
    <t>d76a9409-e1a2-40eb-b83a-fee321ef000f</t>
  </si>
  <si>
    <t>ee5412fc-8035-4fd0-b3ae-9416d749956b</t>
  </si>
  <si>
    <t>ef96dbff-b8de-45ed-a1e3-0c8440ed5d83</t>
  </si>
  <si>
    <t>fc4f4122-dcc3-4c2b-8d0e-7bfa83967e75</t>
  </si>
  <si>
    <t>11191f17-77e7-4049-be13-9a83b95c1880</t>
  </si>
  <si>
    <t>6859a872-4b39-424a-a033-c5c5894a562e</t>
  </si>
  <si>
    <t>dd884163-2b2e-404e-b49c-e62c8e4925fc</t>
  </si>
  <si>
    <t>05829215-7a30-4c1b-88a1-5a370347eb7f</t>
  </si>
  <si>
    <t>6ed2f4f8-7dd9-4cd7-8b0a-dfd22d24dd3f</t>
  </si>
  <si>
    <t>c80bcd63-91f3-4300-84de-2d782a791a60</t>
  </si>
  <si>
    <t>9dca9646-c33e-49fb-a0ee-09f7e6b742e3</t>
  </si>
  <si>
    <t>b86c41d7-2001-4cdd-a925-7c5486a92050</t>
  </si>
  <si>
    <t>22a0c5ac-1a44-48e5-a3a1-abcc32e9edeb</t>
  </si>
  <si>
    <t>27e7f066-3607-49db-b9cc-9828c278e666</t>
  </si>
  <si>
    <t>e4059f3c-6f71-4875-ad1d-6708c44a9e1c</t>
  </si>
  <si>
    <t>1a3a6251-f6b6-4e84-9a8e-362ecfb867ac</t>
  </si>
  <si>
    <t>1877430b-1da8-4402-822e-607ef2698110</t>
  </si>
  <si>
    <t>891bda16-38e2-491a-95b4-3d3d9998916b</t>
  </si>
  <si>
    <t>ad51bca0-eb38-49b6-a1ee-e7d4e730f4f7</t>
  </si>
  <si>
    <t>8285be34-9da6-4918-99d2-178c3f394fcb</t>
  </si>
  <si>
    <t>b9c67428-6c53-4327-8545-bbc8bdf393a8</t>
  </si>
  <si>
    <t>c742d911-04ca-4649-89e4-51ddb23a63ec</t>
  </si>
  <si>
    <t>f0ef61db-d13b-4e1d-863a-2f62071c1b19</t>
  </si>
  <si>
    <t>74d1d9ea-4d8c-4b28-b78d-bfbc3e186f57</t>
  </si>
  <si>
    <t>b7b51db7-8cdd-4ab4-aecf-c0e50f9ef8c0</t>
  </si>
  <si>
    <t>4dd9fa92-8cd6-41a0-81ce-38dbed4ac7d7</t>
  </si>
  <si>
    <t>49c82feb-73c9-4f48-9b68-15cab1d375e2</t>
  </si>
  <si>
    <t>bd1ead69-d93c-495d-b8f8-b16b052f5b2f</t>
  </si>
  <si>
    <t>be56d7cd-1e44-4a2b-8207-7f4b3d0534c2</t>
  </si>
  <si>
    <t>0438df29-5e30-46d1-9a17-fb653aeef3c7</t>
  </si>
  <si>
    <t>6db60741-3536-44bb-b5f2-fa8eb548c48a</t>
  </si>
  <si>
    <t>2e2450a3-d926-4857-b59d-8e5c587aba31</t>
  </si>
  <si>
    <t>a8f7f419-ae0f-4c94-959a-5401957ec2e8</t>
  </si>
  <si>
    <t>7c253961-06b8-4d90-a79b-2487631f4a14</t>
  </si>
  <si>
    <t>MLE CLARISSE VOUTE</t>
  </si>
  <si>
    <t>7901c12f-e1c2-4c4e-b7f2-878f251e1eba</t>
  </si>
  <si>
    <t>44f22498-0e85-48cc-a43b-b4f866584690</t>
  </si>
  <si>
    <t>42e9b42c-7997-4445-8244-1efe957ecd6a</t>
  </si>
  <si>
    <t>20110572-36a8-4e87-82f9-3722f7ecb076</t>
  </si>
  <si>
    <t>e83ad805-a98c-4002-b260-9d8517ed13e8</t>
  </si>
  <si>
    <t>221d850c-43bc-48f4-a7b1-6a19e2218d1e</t>
  </si>
  <si>
    <t>90c0bdfc-138f-41a8-86cf-397f032e8d3f</t>
  </si>
  <si>
    <t>72576bd8-c961-4b8b-a02f-d416950ee295</t>
  </si>
  <si>
    <t>fab82f34-8c94-4198-b669-1768a89bed30</t>
  </si>
  <si>
    <t>a8da3f4b-7bc7-40c5-acf3-fa146acf88eb</t>
  </si>
  <si>
    <t>1dfd4ef4-8cdd-47e9-bee2-1bdbac9e0279</t>
  </si>
  <si>
    <t>ee68ff73-c38b-41b7-b17e-ae6d0fc9ff59</t>
  </si>
  <si>
    <t>3def715e-4210-409d-bfbd-b62598679508</t>
  </si>
  <si>
    <t>09cd777f-9ed7-4dfb-a416-a7c0f0b33c08</t>
  </si>
  <si>
    <t>fd390ae2-f77a-4b7d-9003-06d82957461d</t>
  </si>
  <si>
    <t>a8b7c465-3b4b-4ab5-bd68-07f4bfccc42d</t>
  </si>
  <si>
    <t>b2f7da48-f3ae-47ed-b864-c6559f2e3749</t>
  </si>
  <si>
    <t>cf9b2ad9-60ce-496c-b84f-9de2af6ad85b</t>
  </si>
  <si>
    <t>5b9dac3d-d183-40cb-89ca-7ba7a04abb07</t>
  </si>
  <si>
    <t>345ada33-5db7-4a3a-bce4-460d622ae55b</t>
  </si>
  <si>
    <t>a0e913a0-7c25-44d3-a910-d06773a6d066</t>
  </si>
  <si>
    <t>974fe709-4695-463c-9e45-ccc5d0c7215a</t>
  </si>
  <si>
    <t>6de6a1e8-b857-4ac9-b884-059343d64063</t>
  </si>
  <si>
    <t>cfa0b5d8-3534-4730-88f0-c8b61f1ff3c5</t>
  </si>
  <si>
    <t>cac345a4-9336-434f-9a49-ef5c4abd4322</t>
  </si>
  <si>
    <t>fe18216e-158c-4bb2-8772-6df9af12b94b</t>
  </si>
  <si>
    <t>662d8b75-fc58-422b-80d1-5f81773755f2</t>
  </si>
  <si>
    <t>0d8f0875-855a-4a86-a617-5b63296394dd</t>
  </si>
  <si>
    <t>e446bf0f-8f41-437f-8f09-b6f72c3b9cd3</t>
  </si>
  <si>
    <t>23412746-b3d6-4ddd-b6ac-7223f2721c35</t>
  </si>
  <si>
    <t>91f92ebb-44ad-4e3d-b74c-9e0e07cea578</t>
  </si>
  <si>
    <t>6207cba1-359f-408b-b4d3-4ae4784583ea</t>
  </si>
  <si>
    <t>2644c8e4-9b98-4932-b527-5d9a51796b63</t>
  </si>
  <si>
    <t>c308fec1-65f1-45db-872b-fbb59f3dbac4</t>
  </si>
  <si>
    <t>6d7ffd19-cbee-49a9-a882-059e296ce961</t>
  </si>
  <si>
    <t>8c4b33bf-63f0-42cd-a39e-7b85a04a3bb9</t>
  </si>
  <si>
    <t>b4ef2c41-ece8-4051-8a58-8d3e6fed8e4e</t>
  </si>
  <si>
    <t>be44c884-5e87-4a67-9d4a-3b6150d29505</t>
  </si>
  <si>
    <t>bd16753b-8961-4595-b462-33756f5d29ee</t>
  </si>
  <si>
    <t>ca96aa2a-6882-46aa-8043-03696e4e5346</t>
  </si>
  <si>
    <t>€14.23</t>
  </si>
  <si>
    <t>fc63ac93-a292-4785-861e-af4fcf2af257</t>
  </si>
  <si>
    <t>493d86eb-5692-434b-a67f-694edbbd21e7</t>
  </si>
  <si>
    <t>20314896-cfcd-4f20-8859-e92e0236accc</t>
  </si>
  <si>
    <t>9a361330-2664-4d62-883e-a45b85e91155</t>
  </si>
  <si>
    <t>c7ec4017-117c-48b5-a8ed-1862c84aa6d4</t>
  </si>
  <si>
    <t>3a70de71-049f-4c1a-9ed6-ac0e97ab309e</t>
  </si>
  <si>
    <t>b073c616-9537-4e93-b0aa-0e9cc8b9a0d7</t>
  </si>
  <si>
    <t>7dd5eef8-ebed-418e-8eaf-01d47b81d0d1</t>
  </si>
  <si>
    <t>e2281972-a74d-42f2-b84b-32f0d5b0df10</t>
  </si>
  <si>
    <t>cf3dc17b-0582-4ef9-a59e-0453dc96a97c</t>
  </si>
  <si>
    <t>e56e3762-10fd-4f7c-b13f-de0d4d6ebd9f</t>
  </si>
  <si>
    <t>6354c777-cd25-4e0c-9fa8-756225bfaed8</t>
  </si>
  <si>
    <t>94d7fab7-53a6-494b-bc45-0d26a17c0594</t>
  </si>
  <si>
    <t>efe0178b-d884-4002-8752-693cb30740bc</t>
  </si>
  <si>
    <t>7add1d2b-be16-415c-b26f-4f4df090707e</t>
  </si>
  <si>
    <t>e3c428ab-221f-4270-805d-fa3e6fd551c0</t>
  </si>
  <si>
    <t>98656f73-b26d-47bb-989a-97f3a47f5dfb</t>
  </si>
  <si>
    <t>80cf9456-e4ac-4187-8884-454a532d77a2</t>
  </si>
  <si>
    <t>Maximilian Seles</t>
  </si>
  <si>
    <t>7a3d77fa-8eee-49eb-bb93-c0cacb161268</t>
  </si>
  <si>
    <t>69c4b5d6-0d96-45ab-837a-198974ee87c0</t>
  </si>
  <si>
    <t>820f9a3b-4ef7-41e8-bbe7-30f621c9a28f</t>
  </si>
  <si>
    <t>963ecad1-34ce-4b20-afd1-58afb896087f</t>
  </si>
  <si>
    <t>77642d10-9bf2-4b86-bc04-15c20e06a7de</t>
  </si>
  <si>
    <t>d0d50d4f-1b0f-47ed-ab9c-ababfac7f082</t>
  </si>
  <si>
    <t>e81a1e7a-c0a2-4b10-8f05-c3243a112e6f</t>
  </si>
  <si>
    <t>b7d34934-4b4a-4635-ae03-855058beeed8</t>
  </si>
  <si>
    <t>571c3cef-a135-4a71-9087-13170373ea26</t>
  </si>
  <si>
    <t>d7160349-5b5f-4602-be01-fc85d4724fa5</t>
  </si>
  <si>
    <t>e0165cf6-162c-4d1f-b9d8-92306e92016b</t>
  </si>
  <si>
    <t>aded8a9b-2d0e-46dd-9054-2be8133c6c45</t>
  </si>
  <si>
    <t>8225afc8-1d41-4a05-978b-b974647a2ddb</t>
  </si>
  <si>
    <t>7aa78ef6-075a-4be3-836c-3b6214d19ae1</t>
  </si>
  <si>
    <t>96bf1d07-5b97-475b-b977-51fdd9303d3d</t>
  </si>
  <si>
    <t>dd62eb21-465c-473d-beed-c6c12b6917e1</t>
  </si>
  <si>
    <t>1a832c01-45ab-4098-a6fc-ecbf5492453f</t>
  </si>
  <si>
    <t>384806f2-654f-4ce9-a261-70da987cbf2f</t>
  </si>
  <si>
    <t>436b2256-1c39-4c34-b2ca-90b1db586dbb</t>
  </si>
  <si>
    <t>9b6c9105-bda6-4976-9461-d7e3c361d033</t>
  </si>
  <si>
    <t>43d79c46-4158-4eac-a8c6-1810022c7bdf</t>
  </si>
  <si>
    <t>c255c61c-63aa-44ae-a8f1-c8a3933f6e3f</t>
  </si>
  <si>
    <t>f963361b-e8ef-4108-ad54-533e04d782f2</t>
  </si>
  <si>
    <t>a8ecddb6-e23e-4275-a14c-8afa6cfa3e05</t>
  </si>
  <si>
    <t>3a136bed-2c48-4c96-8ad3-cb6fa8280fb8</t>
  </si>
  <si>
    <t>20448a04-16cf-4f5c-915d-bc55db531bf2</t>
  </si>
  <si>
    <t>0d55404e-18bf-47b4-bb1d-4520b70fdd67</t>
  </si>
  <si>
    <t>303c7667-d502-4caa-ba7e-6dadf7c3c54f</t>
  </si>
  <si>
    <t>e23966e1-0eb3-4962-be57-cdf63f9ca89f</t>
  </si>
  <si>
    <t>5640f8e3-e6b4-4d6d-b2f7-d890cf17c683</t>
  </si>
  <si>
    <t>99bae631-2806-4cf4-986d-175c765406d1</t>
  </si>
  <si>
    <t>af9e9678-3d31-4db6-88ff-2e8f42c7a7cc</t>
  </si>
  <si>
    <t>89f6d0a2-54b8-4c05-bdc8-910f09f1d393</t>
  </si>
  <si>
    <t>5fb20059-8d7a-4445-8928-8fe07a0f5451</t>
  </si>
  <si>
    <t>1da0da58-ae40-479c-8eff-77b556c78037</t>
  </si>
  <si>
    <t>00f2f606-2557-4f03-b564-5aabb07abdaf</t>
  </si>
  <si>
    <t>084eaae3-4d53-4d54-8c7e-e8b46502cd9e</t>
  </si>
  <si>
    <t>12f1a6d2-9e54-4a28-96c2-148fad118709</t>
  </si>
  <si>
    <t>68b450cd-ddc4-4529-b4c1-34c3fdc84910</t>
  </si>
  <si>
    <t>97ebc8b3-5acb-4d6a-80fb-1e474c43e10e</t>
  </si>
  <si>
    <t>d03952a0-c8bf-40b3-a6f3-b91ce0089875</t>
  </si>
  <si>
    <t>06931b30-6ef7-4be7-990f-ba0d348b2854</t>
  </si>
  <si>
    <t>26a35b68-f699-4f17-88fe-19149553d32a</t>
  </si>
  <si>
    <t>533674c3-dd7d-462a-b075-bf102377607f</t>
  </si>
  <si>
    <t>f1fff0bf-50df-47d3-9b5b-5beba5a0b510</t>
  </si>
  <si>
    <t>2b7be86d-8df9-4b98-abfe-540f73969b4c</t>
  </si>
  <si>
    <t>bdccef9f-c8c3-4594-ae36-9f5fb032d074</t>
  </si>
  <si>
    <t>e489d287-ae66-4f69-a90e-f12d97c060fa</t>
  </si>
  <si>
    <t>c39ef8d6-5833-4780-baff-2ac6b6cc1795</t>
  </si>
  <si>
    <t>3dcdc552-68e7-41db-9d49-c3f74352eb51</t>
  </si>
  <si>
    <t>021b6f0d-2ef7-4389-92cc-129257d0026e</t>
  </si>
  <si>
    <t>7531f5c0-91a9-445f-9191-27a7905fa486</t>
  </si>
  <si>
    <t>d40045b6-ad50-4e25-9154-eb3469a39551</t>
  </si>
  <si>
    <t>0a616217-f2d4-4568-afcd-64f942f1d91a</t>
  </si>
  <si>
    <t>ca35697b-13ff-44d8-9dbf-3fc054b792be</t>
  </si>
  <si>
    <t>5aa13df3-6e18-4717-84aa-209f3dbce55b</t>
  </si>
  <si>
    <t>e42c06e5-9990-4da7-893a-3b103d8f2327</t>
  </si>
  <si>
    <t>185849f0-ec7f-4d02-bf57-a761ba8e34f1</t>
  </si>
  <si>
    <t>ef2492d4-cda0-47fd-abb1-6ec4b6e99195</t>
  </si>
  <si>
    <t>47ff1977-6e82-4dd5-a554-7cd23b4b20ce</t>
  </si>
  <si>
    <t>4d9a0c7b-a08b-4a53-a928-7c8241a932b7</t>
  </si>
  <si>
    <t>f4260082-9b8e-4f95-97ed-b095f889c07b</t>
  </si>
  <si>
    <t>d29a125b-7b31-4e47-8bcb-415ff2df30d7</t>
  </si>
  <si>
    <t>f5cdff0d-6908-41e5-9975-e74b4d79ff32</t>
  </si>
  <si>
    <t>9f9a650d-7599-4744-9bda-d97c55c040db</t>
  </si>
  <si>
    <t>7e8fdbd1-de90-4dfb-b474-ae431918d9d8</t>
  </si>
  <si>
    <t>6276fb9d-cc34-4b30-a782-919262247b21</t>
  </si>
  <si>
    <t>776fa775-8e7b-412e-8a90-a700a9a91868</t>
  </si>
  <si>
    <t>1c8b6bcf-0962-4fe1-bf4a-57bf99c0b95a</t>
  </si>
  <si>
    <t>b4275ce7-834f-48c3-a465-598b3647c20e</t>
  </si>
  <si>
    <t>€0.61</t>
  </si>
  <si>
    <t>98c05eed-ab1a-4cd2-94d4-7ee7db3a5d50</t>
  </si>
  <si>
    <t>f47338ce-723b-4d95-a9a0-e84c8dc4fe88</t>
  </si>
  <si>
    <t>c8df633c-81c5-462e-85a3-802d23363bdd</t>
  </si>
  <si>
    <t>d757ea8f-4502-43ad-bf77-2fb8fe9d09c7</t>
  </si>
  <si>
    <t>687e9952-7248-421f-aa78-0040a4eb1e28</t>
  </si>
  <si>
    <t>2b5436f2-784c-4819-b2de-dc24ede2232e</t>
  </si>
  <si>
    <t>d6a7308b-c2c3-4dd2-aa5b-9262da55abed</t>
  </si>
  <si>
    <t>6a09f850-3dfa-43e7-88f3-77f26a6943b7</t>
  </si>
  <si>
    <t>9442ee0b-5f09-4840-98c7-2e801de3a696</t>
  </si>
  <si>
    <t>fbc35a1f-4368-42ca-b257-e45b375fc7d7</t>
  </si>
  <si>
    <t>53bd542b-75c4-4e35-b62d-1790506a5775</t>
  </si>
  <si>
    <t>411b43a2-113b-44aa-82b3-33323c2711bf</t>
  </si>
  <si>
    <t>5963ea8c-e579-469a-a1f0-00d735f263b6</t>
  </si>
  <si>
    <t>94cdcfb1-385f-43ed-b834-9f70949f86f8</t>
  </si>
  <si>
    <t>f847b1e1-3c73-4043-ba52-de56a785f6fc</t>
  </si>
  <si>
    <t>22cd17cb-8438-4307-958e-dd3a3db7dd49</t>
  </si>
  <si>
    <t>a9e71b23-a8c4-4979-9456-f247f1e72425</t>
  </si>
  <si>
    <t>3d01a0d0-56fe-414c-900e-d7942e8e8689</t>
  </si>
  <si>
    <t>b8291673-48e4-42d1-a3b6-9b33481b2fe9</t>
  </si>
  <si>
    <t>6a7b3c36-f971-4143-965d-67823e149c3b</t>
  </si>
  <si>
    <t>bd2c62ce-412c-4b38-8702-0efcc65b65e0</t>
  </si>
  <si>
    <t>1250ac37-6af0-4d2f-9ab3-9d6f7a833586</t>
  </si>
  <si>
    <t>3e848042-b97d-4e1c-aec8-99356d7c43c2</t>
  </si>
  <si>
    <t>a6446bf6-1c3f-4447-b648-ccaad94eebca</t>
  </si>
  <si>
    <t>7e816e3c-ad29-4378-ae5a-a7c83e1b2351</t>
  </si>
  <si>
    <t>c8e13f3b-a178-4a97-82e8-f1da9362debe</t>
  </si>
  <si>
    <t>cc19a859-260e-4c77-b003-44cea59e3604</t>
  </si>
  <si>
    <t>46adb6c8-de93-4338-b2f4-bb6d89e934e8</t>
  </si>
  <si>
    <t>cee01144-1d1d-4daf-8176-413a61664cbc</t>
  </si>
  <si>
    <t>8a9526d2-1a76-470b-8835-0def0755d950</t>
  </si>
  <si>
    <t>172a5362-8961-4f64-a075-8626513c1855</t>
  </si>
  <si>
    <t>37a71b90-9d5d-4bfd-a9be-bb17f49ee41a</t>
  </si>
  <si>
    <t>e5025b94-0e04-4557-898c-7533050fe979</t>
  </si>
  <si>
    <t>f4842a1e-e664-4d2b-9845-87197601f850</t>
  </si>
  <si>
    <t>def00335-3e76-48c2-97e3-3434582139ff</t>
  </si>
  <si>
    <t>12632903-e586-4b87-bc74-878c323dfdd3</t>
  </si>
  <si>
    <t>b0af7933-a5d7-4f4c-9ac8-aed506e005f7</t>
  </si>
  <si>
    <t>3efaaf92-0d4a-4ea7-add5-9f50c8928d9c</t>
  </si>
  <si>
    <t>d2311231-a469-4426-a70f-4e62f440a56d</t>
  </si>
  <si>
    <t>e9820f6a-a901-4569-87cd-cd9dbf466c94</t>
  </si>
  <si>
    <t>80f757af-275a-4e2c-b251-f428e01d609d</t>
  </si>
  <si>
    <t>e08ee10d-6f4f-4e39-829d-66c67f646ce7</t>
  </si>
  <si>
    <t>Salomé brochet</t>
  </si>
  <si>
    <t>8dad9a92-9c18-4059-8dc2-fe28bd2b40e4</t>
  </si>
  <si>
    <t>a30a0ca4-cb5e-42b4-bccf-214d93629ca2</t>
  </si>
  <si>
    <t>d72a9d8e-9848-4ce0-bbf2-5b9f294ad508</t>
  </si>
  <si>
    <t>939355ce-9bfc-47b2-82e6-f84a3c4c0ae3</t>
  </si>
  <si>
    <t>772a3d06-0212-4f21-8a1d-95ba39a02775</t>
  </si>
  <si>
    <t>e2c9701c-c6bc-4e43-be0b-7f1fefbc8fb7</t>
  </si>
  <si>
    <t>db1cb37b-7e49-4755-ac81-ea016b89c210</t>
  </si>
  <si>
    <t>91b39d38-0a65-4ede-980b-bfaac1e867c2</t>
  </si>
  <si>
    <t>c8c208bd-8c4b-4d3e-9660-dda321df3f61</t>
  </si>
  <si>
    <t>af513bf3-78a0-413d-a397-79fc4f209776</t>
  </si>
  <si>
    <t>0686d406-3039-47da-825d-156ec5492766</t>
  </si>
  <si>
    <t>fd76c30a-07d4-4368-a3a4-e8b65c6f3b9d</t>
  </si>
  <si>
    <t>Mara Elena Ciobanu</t>
  </si>
  <si>
    <t>9ef7d1e2-c530-41ee-adff-74e21700b1da</t>
  </si>
  <si>
    <t>c004b856-7d92-470b-b12d-9d662c12779d</t>
  </si>
  <si>
    <t>29c441b5-2740-42c9-9a2d-89ba4ea96d70</t>
  </si>
  <si>
    <t>bcdb9ef3-e1be-43cf-9475-961b33f59f48</t>
  </si>
  <si>
    <t>547867dd-42fd-4262-9fcb-42c5341b37be</t>
  </si>
  <si>
    <t>7a1c3481-7ba6-4cd2-9ea2-bc33cf51c5bb</t>
  </si>
  <si>
    <t>276abc2a-a575-436d-9e09-4a4d739b4627</t>
  </si>
  <si>
    <t>5cb6a6c6-6b0a-4b1e-88bf-4144b120c247</t>
  </si>
  <si>
    <t>b53f6fcb-4459-4e44-9c22-7665d5ce9396</t>
  </si>
  <si>
    <t>73d84e2d-2667-44b1-aa61-9468bfdfa291</t>
  </si>
  <si>
    <t>fc6c4fec-86e6-4cde-a753-0f176a3f5f6f</t>
  </si>
  <si>
    <t>f5d62c7c-d00a-4a05-a48d-bd2f53337f33</t>
  </si>
  <si>
    <t>97ad298b-9afb-4d8e-91b4-0c2beca51d46</t>
  </si>
  <si>
    <t>f7e5df9c-387f-4d28-94d2-6360ec908065</t>
  </si>
  <si>
    <t>9266d306-648a-4b94-ab4d-1eea5689d5ce</t>
  </si>
  <si>
    <t>71668ea1-abff-481b-b98f-47d22a061b84</t>
  </si>
  <si>
    <t>5cfe25b4-5290-48cd-9bba-175a705c8c8b</t>
  </si>
  <si>
    <t>be53c01c-3f75-4fde-9ae1-ce72866a1e69</t>
  </si>
  <si>
    <t>2457627e-0903-4fa0-b9b9-4d71550c059f</t>
  </si>
  <si>
    <t>f2c38e66-f85b-4b17-8abb-2a292cd568cd</t>
  </si>
  <si>
    <t>9ed94ce8-1153-4d48-bc04-289d0057a267</t>
  </si>
  <si>
    <t>a8d897a9-c5f9-4477-bbf4-e5c29ff6ba97</t>
  </si>
  <si>
    <t>b995c39f-3501-4977-919b-6ecb43019536</t>
  </si>
  <si>
    <t>793cc77c-0a68-45bb-b3e5-9b488fafc548</t>
  </si>
  <si>
    <t>4c6f0834-46a4-4953-9be4-20f11d2a19cc</t>
  </si>
  <si>
    <t>bceb636d-b738-43ca-8701-a3d0aa374f14</t>
  </si>
  <si>
    <t>b18fc2fb-daa0-44b3-9720-a6021778026d</t>
  </si>
  <si>
    <t>5d8cfa79-dca0-4ee8-a759-4a118dbb9781</t>
  </si>
  <si>
    <t>fcc2650e-9682-449d-88f9-2cbe8fa6b88a</t>
  </si>
  <si>
    <t>c6cc3ba6-3f17-4a2e-bcf1-ff2f1a7f2b7c</t>
  </si>
  <si>
    <t>€6.48</t>
  </si>
  <si>
    <t>bb685665-f883-4228-a691-e94c7007971b</t>
  </si>
  <si>
    <t>cb247bcf-5a65-437a-accc-3f7627da3c52</t>
  </si>
  <si>
    <t>e1ac9535-f2d0-4e7d-9a8d-198f8c0e0b77</t>
  </si>
  <si>
    <t>19cc723a-4f20-412f-ad88-5202759bebdb</t>
  </si>
  <si>
    <t>1f1b81db-cee5-4ca5-858d-03df6341de48</t>
  </si>
  <si>
    <t>5ff73dce-1e60-461e-bf29-c41d47331723</t>
  </si>
  <si>
    <t>0741492e-e7ce-459e-986c-9f385ed4bc44</t>
  </si>
  <si>
    <t>981bce22-c070-473e-83a7-5762b7f9709a</t>
  </si>
  <si>
    <t>28a48d19-7c0f-4be6-bcb5-14f7822d09d6</t>
  </si>
  <si>
    <t>43967193-95bf-4c68-9aad-3754ce1a1036</t>
  </si>
  <si>
    <t>9961e3de-8839-4dde-ae1b-6b54267a4f16</t>
  </si>
  <si>
    <t>37fe79ea-2300-4ac8-b4fa-207e2499be6d</t>
  </si>
  <si>
    <t>099feb34-b5e0-49ea-b965-4b4b137c378b</t>
  </si>
  <si>
    <t>9e689130-a4dc-42c5-97f0-81f14c528f73</t>
  </si>
  <si>
    <t>dead3d73-e025-4dfc-a55a-c036c7088dc9</t>
  </si>
  <si>
    <t>90c3ee43-0a71-4a9e-b656-356f286e5fe0</t>
  </si>
  <si>
    <t>d8b043a3-d29e-46d9-a997-a922a471e942</t>
  </si>
  <si>
    <t>8694f11d-8192-49e3-911b-49af961589d1</t>
  </si>
  <si>
    <t>a24cafce-f481-4a13-bacb-3c3820756ed4</t>
  </si>
  <si>
    <t>f32ea8d3-8207-4dca-8aa0-c07eb8adeec3</t>
  </si>
  <si>
    <t>acfe354a-6df8-4728-a6df-4cea2b6be2ab</t>
  </si>
  <si>
    <t>1311884b-729e-4d54-9e88-77186b657e4b</t>
  </si>
  <si>
    <t>44d1ae21-0425-4fb7-81e8-16d910e16d04</t>
  </si>
  <si>
    <t>87086982-f8d4-49a1-af57-e143fd82a253</t>
  </si>
  <si>
    <t>1497325f-265b-45b6-af54-db919ad0edd0</t>
  </si>
  <si>
    <t>30189abe-3a99-4fba-bf5b-1cd67be5976b</t>
  </si>
  <si>
    <t>4326bce2-8070-4956-8c36-3eb91c59a2cd</t>
  </si>
  <si>
    <t>2c68adbf-684e-4eb2-ac6d-ad955d300738</t>
  </si>
  <si>
    <t>9990ef29-b3e2-4ad9-999e-3a6b8f3f46b2</t>
  </si>
  <si>
    <t>358efeb7-749c-4d3c-a583-31b9eee9c7cb</t>
  </si>
  <si>
    <t>ab1a6fd4-986f-47c9-ba2e-72750133a8aa</t>
  </si>
  <si>
    <t>01bc1a97-65cd-4180-b771-219fa9a3c975</t>
  </si>
  <si>
    <t>db1f71cf-47ef-45c3-ab8e-bae4cce2a780</t>
  </si>
  <si>
    <t>a26b7477-0631-48b3-8f5b-8393befbfcaa</t>
  </si>
  <si>
    <t>785d32d9-e28e-435f-a6b4-c7a67d65cffa</t>
  </si>
  <si>
    <t>305a63b9-b3d7-4679-881b-06302ee94144</t>
  </si>
  <si>
    <t>e3859a11-2947-4eb2-b9cf-de9ed8b559f6</t>
  </si>
  <si>
    <t>3130786d-9a4c-4c7e-a798-83b135876a20</t>
  </si>
  <si>
    <t>3d2a2b7d-07e7-4131-a7ed-a4167a31e68f</t>
  </si>
  <si>
    <t>b0d9c650-dfb7-4d28-a62a-321a3a0b637b</t>
  </si>
  <si>
    <t>90dd28bb-c20d-4c95-b2d7-b35b8c8300e1</t>
  </si>
  <si>
    <t>8e7a54ed-ac78-41de-ba57-be2a3e0fac46</t>
  </si>
  <si>
    <t>d535493b-0176-42aa-b03d-a214cb23cc9b</t>
  </si>
  <si>
    <t>24f086e7-32cf-4742-9f40-156195d15f6a</t>
  </si>
  <si>
    <t>b1de5523-d22f-4768-9858-77b09ccac816</t>
  </si>
  <si>
    <t>8b568367-9869-4ef2-920d-b1ec915c002a</t>
  </si>
  <si>
    <t>d1305064-6490-46e6-98c0-efdd557f6cf5</t>
  </si>
  <si>
    <t>9dfbd5f7-393a-497b-9269-9d7f5b422cd1</t>
  </si>
  <si>
    <t>747b3356-d182-433c-8376-ce8633a3f573</t>
  </si>
  <si>
    <t>7f9b0359-f402-4663-9732-455d3dc93963</t>
  </si>
  <si>
    <t>6030796c-0590-4ab2-9c2a-3147983096e8</t>
  </si>
  <si>
    <t>8e31e321-b525-41e0-9c01-e96595449b7f</t>
  </si>
  <si>
    <t>fcbde266-74a0-4087-b266-2b90eca602be</t>
  </si>
  <si>
    <t>3f1a8af9-878a-47c1-8a30-de118fa6dbe8</t>
  </si>
  <si>
    <t>83e9a5d7-ea78-4482-9be8-757f4df9c59e</t>
  </si>
  <si>
    <t>9975e6ce-34c2-4c1d-9c2a-20e79e1dc5e9</t>
  </si>
  <si>
    <t>53b84975-179f-47ca-b13b-6fe8750bfcbd</t>
  </si>
  <si>
    <t>1374f42b-e445-4f68-aaac-9ceb8f5350f8</t>
  </si>
  <si>
    <t>e055d1b7-e1e5-4c79-b62b-928c99d13480</t>
  </si>
  <si>
    <t>9e7b86e4-17a3-47d9-a2e2-3fe41c9a3818</t>
  </si>
  <si>
    <t>e59f8729-9bc3-4726-8b0b-e58f5ea50dd5</t>
  </si>
  <si>
    <t>9163dbf2-0126-46ce-8da7-b1c88b020183</t>
  </si>
  <si>
    <t>3d065ef6-2385-4d62-a799-cb90bd5431b5</t>
  </si>
  <si>
    <t>cdf038ba-4fc8-4980-9a2a-5b22747bcafa</t>
  </si>
  <si>
    <t>cfd9740c-1e69-40a5-b61a-f7b1b043de9f</t>
  </si>
  <si>
    <t>7a0d461d-23c7-4173-a5ae-3d259de5e715</t>
  </si>
  <si>
    <t>5b665718-8080-441a-b37f-89cc1abd79fa</t>
  </si>
  <si>
    <t>bc2e9823-dc99-4b34-89c1-5627c8747abc</t>
  </si>
  <si>
    <t>8cc2d9e6-7f42-43da-a5b2-ff968248995f</t>
  </si>
  <si>
    <t>056b1d39-346b-4fae-9054-cb8250824bdd</t>
  </si>
  <si>
    <t>b49d949c-cdcc-475a-a3ee-89dcbc4b74e7</t>
  </si>
  <si>
    <t>e17af7f9-c760-40b3-bb1d-2ab870303edd</t>
  </si>
  <si>
    <t>36562ddd-c61b-4adf-a9c3-c939c1bf0f01</t>
  </si>
  <si>
    <t>2ae0c106-e76a-40b7-b755-d058dade805b</t>
  </si>
  <si>
    <t>99626e35-cc15-4d78-882c-bd83db2bf337</t>
  </si>
  <si>
    <t>9c9b8339-6b51-4eab-8f4e-e70918173407</t>
  </si>
  <si>
    <t>65e2b78b-6436-42bd-8f24-ec520b1b9cb1</t>
  </si>
  <si>
    <t>ab2ad76a-f1dd-4920-b1f1-c028829887cb</t>
  </si>
  <si>
    <t>e22d95ba-5604-4e9d-99db-febee05579c5</t>
  </si>
  <si>
    <t>880a489e-ee4a-498f-a4f2-65023b12f771</t>
  </si>
  <si>
    <t>4831f9d3-4808-4bd4-a50c-75af27a44587</t>
  </si>
  <si>
    <t>5eeae469-fb80-4fdc-abba-9a3a51e91e66</t>
  </si>
  <si>
    <t>2e21f161-78e5-4b3f-a320-2e8d4abf4689</t>
  </si>
  <si>
    <t>258c49c2-9afc-4127-b83e-33b1873cc545</t>
  </si>
  <si>
    <t>eefe7bd8-0d2a-4129-a057-a0d5461a5c8b</t>
  </si>
  <si>
    <t>b189027e-f083-4385-b2d9-16fc869e2898</t>
  </si>
  <si>
    <t>33a4fe72-d872-4c27-b620-dfa4eb60521d</t>
  </si>
  <si>
    <t>307e1799-652e-4990-b3ff-4ef44f0830eb</t>
  </si>
  <si>
    <t>e38a25b8-a5f6-4399-92a9-fb273ffb032a</t>
  </si>
  <si>
    <t>d6b455a8-dfa9-483d-b053-f2dd83e57d85</t>
  </si>
  <si>
    <t>0e5c2567-0f7d-4eb9-8cdd-7b50462ffba3</t>
  </si>
  <si>
    <t>106965a6-3a3d-46c9-9b7e-46dcc3a61fc7</t>
  </si>
  <si>
    <t>a515339a-be3b-4608-9ad1-38c1864fb24e</t>
  </si>
  <si>
    <t>3260e8dc-d048-4ae0-a43b-3dc82de40294</t>
  </si>
  <si>
    <t>875b77dd-1a27-460a-8fa4-eb6fd6b29920</t>
  </si>
  <si>
    <t>4521bb06-b981-4e5c-8778-45c22b87fe63</t>
  </si>
  <si>
    <t>3ee848fb-756f-4b0e-8eb5-6e6f891aff60</t>
  </si>
  <si>
    <t>ca7779c3-bd71-4718-a1e6-da0102aecb4a</t>
  </si>
  <si>
    <t>74430ca6-a875-4906-a878-8548c14811ca</t>
  </si>
  <si>
    <t>9660aea2-9c20-4661-8615-6c59888fed15</t>
  </si>
  <si>
    <t>3efa72de-663c-49a9-b54e-529271c27352</t>
  </si>
  <si>
    <t>736be8ef-a87b-40b0-b6ed-1b9a5f4fc8dc</t>
  </si>
  <si>
    <t>ba63bc1a-a01e-4d59-b821-d357fc202f29</t>
  </si>
  <si>
    <t>09354743-fc40-40e0-ac21-283ea65de6e5</t>
  </si>
  <si>
    <t>a01b3520-0ee3-4456-af9e-b5764211d1e2</t>
  </si>
  <si>
    <t>bb25fff5-db7b-40ca-8b78-aba74b5669ec</t>
  </si>
  <si>
    <t>35b71924-f994-44d1-80be-6469bdf529ed</t>
  </si>
  <si>
    <t>0b2831ec-9239-49f2-9765-008bf44f50f9</t>
  </si>
  <si>
    <t>260201da-e059-45db-9b70-c429348d1060</t>
  </si>
  <si>
    <t>88098645-c836-4358-bd62-c19f21a65088</t>
  </si>
  <si>
    <t>93ad747b-2e17-4d49-91d9-7e40688da799</t>
  </si>
  <si>
    <t>6725fb7c-f849-42b8-9cd8-ff10a5562eef</t>
  </si>
  <si>
    <t>e6ea0d9b-81dc-43a9-96a2-d3b97df5ccd0</t>
  </si>
  <si>
    <t>6c0f77d8-5346-4c88-9edf-ee264b17a9ef</t>
  </si>
  <si>
    <t>a4324994-f111-4796-b513-fd523fffc6b0</t>
  </si>
  <si>
    <t>94097aa4-783e-49f4-89ce-883059784197</t>
  </si>
  <si>
    <t>c92be649-4088-49f6-941d-368c336ddbc3</t>
  </si>
  <si>
    <t>d05dd220-fe29-4b79-9bae-34547f77dc62</t>
  </si>
  <si>
    <t>c96832e7-d818-482c-a716-8d7c51e50d29</t>
  </si>
  <si>
    <t>a5e1aa34-1e66-4560-a7a4-fa6ce713dd03</t>
  </si>
  <si>
    <t>5d520399-0b6d-47a4-bc47-aa5af5b674c5</t>
  </si>
  <si>
    <t>ea2ed4a5-3b48-442b-afcf-518dba396dd5</t>
  </si>
  <si>
    <t>575610c3-d19f-46e1-b48c-f79b199bb9b1</t>
  </si>
  <si>
    <t>180fd96d-7d96-4731-8e4b-28159a1f42b9</t>
  </si>
  <si>
    <t>be093157-967b-4e7b-9543-dc4d5402806d</t>
  </si>
  <si>
    <t>c5384b47-2208-4e67-ab9c-2ff17766f508</t>
  </si>
  <si>
    <t>873ea9ae-8fed-4597-a5ef-c5c05da3b264</t>
  </si>
  <si>
    <t>b178d343-03ba-409a-a34d-d13ba2c441c6</t>
  </si>
  <si>
    <t>bcbdd953-b78a-4b9c-bb74-e0ebcea24f49</t>
  </si>
  <si>
    <t>86bd8857-dfd9-4427-8cb0-4df6f566e6f8</t>
  </si>
  <si>
    <t>f4028e4c-ae39-4a5b-b868-cef28f77f9b0</t>
  </si>
  <si>
    <t>02322fcf-ca31-4162-b25d-210f9fce69b5</t>
  </si>
  <si>
    <t>7d6e8195-2417-4eec-96e7-97aa3d08895e</t>
  </si>
  <si>
    <t>8c236334-fa8a-45f8-bfac-4a536858b57c</t>
  </si>
  <si>
    <t>5268ac8a-6a4b-425a-a876-f83d2d44482f</t>
  </si>
  <si>
    <t>a4d32234-06cc-4605-af35-6a1a7372010b</t>
  </si>
  <si>
    <t>772aaeef-c40e-4270-a2a7-4926497bad05</t>
  </si>
  <si>
    <t>0ac24999-98dc-4095-8897-6a1bf407ce15</t>
  </si>
  <si>
    <t>900fdab1-daff-4692-8a04-f4f794deaaec</t>
  </si>
  <si>
    <t>5ff8c8e8-fa0e-421d-a74e-8508bc84683f</t>
  </si>
  <si>
    <t>7c621d3f-753c-4926-b685-4124bc96ac0f</t>
  </si>
  <si>
    <t>e44a67b8-503c-4999-872d-fd447b7a34fc</t>
  </si>
  <si>
    <t>1441c09e-fa1e-4579-ad00-a8e8e8b021c3</t>
  </si>
  <si>
    <t>2cd8dd65-9127-4f4c-af01-903aa43e2228</t>
  </si>
  <si>
    <t>99aa7d00-77b8-4553-8f79-cbe9e3c15442</t>
  </si>
  <si>
    <t>94826125-8a9b-431b-adfb-17855073b341</t>
  </si>
  <si>
    <t>515ab480-4913-4b6b-aa04-60f6f2293d28</t>
  </si>
  <si>
    <t>d5f1c713-68c4-4df9-bcfd-fff1e81612a3</t>
  </si>
  <si>
    <t>7cb284ea-4f35-4077-8d62-cc9092d1f6be</t>
  </si>
  <si>
    <t>ced5fe26-e306-4909-8a60-93cd131d7ef9</t>
  </si>
  <si>
    <t>fabddc06-987b-4714-b61e-7034f725f8db</t>
  </si>
  <si>
    <t>€16.41</t>
  </si>
  <si>
    <t>€1.01</t>
  </si>
  <si>
    <t>€15.40</t>
  </si>
  <si>
    <t>559a399f-3d92-40af-9251-2c2b2f14a60d</t>
  </si>
  <si>
    <t>7decf177-fd55-4a21-9ac8-adfe3bbaf333</t>
  </si>
  <si>
    <t>691b9601-746b-4550-8d43-e0706bc45373</t>
  </si>
  <si>
    <t>9da956b7-26fe-4c1b-bd86-45bdf396479f</t>
  </si>
  <si>
    <t>5773ed0c-538d-4982-b208-08d3c8d2fd7b</t>
  </si>
  <si>
    <t>4279d81a-47d3-42cb-86d0-1e1b1eabe61f</t>
  </si>
  <si>
    <t>08c43357-5e60-4b2a-ac10-b591f63cc8ab</t>
  </si>
  <si>
    <t>bdc26d9a-ca2f-46a8-a0e7-d64603e59c08</t>
  </si>
  <si>
    <t>3fa432ce-79a6-4f87-81cd-e4c1b79297c9</t>
  </si>
  <si>
    <t>59913666-204e-4604-a3f9-c036a1029876</t>
  </si>
  <si>
    <t>e2a70b80-384b-4240-8f37-bd2bc77a2fec</t>
  </si>
  <si>
    <t>4d94cb0a-cf87-4ec8-896a-ee965e25c51d</t>
  </si>
  <si>
    <t>8f5d14ef-0282-440c-89be-05519675eb2a</t>
  </si>
  <si>
    <t>c8883d30-a643-4b6b-aa10-915bd562d793</t>
  </si>
  <si>
    <t>f1b3ad22-38f8-492f-a360-24566a5efaac</t>
  </si>
  <si>
    <t>a33c9160-e6c0-4652-8a4d-e1d390c3944c</t>
  </si>
  <si>
    <t>459a3aa2-8e40-4c09-9600-dfe561c3070b</t>
  </si>
  <si>
    <t>0fa669de-a4f2-48db-b311-d6137883dd69</t>
  </si>
  <si>
    <t>31f2ebb4-e055-429f-aae4-9478783187a9</t>
  </si>
  <si>
    <t>6da23f46-05e7-4700-b0e0-5a4f8c5b5da1</t>
  </si>
  <si>
    <t>4d3b35f9-77b5-474c-a52a-2733b5706cfe</t>
  </si>
  <si>
    <t>a6d601fb-0d6e-49ba-a095-a214d429b000</t>
  </si>
  <si>
    <t>b80ea10d-433c-4f73-9ecd-5d541b7e12e5</t>
  </si>
  <si>
    <t>c9e62f47-1987-4cf0-951d-7f5b8218f423</t>
  </si>
  <si>
    <t>fdc7856b-ade9-4b60-8200-6c6a826a9ffa</t>
  </si>
  <si>
    <t>68a27a3c-6bda-4ff2-8fa6-b1c952b4a942</t>
  </si>
  <si>
    <t>c6e8e750-6ef5-47b3-87e6-e4c6e799114e</t>
  </si>
  <si>
    <t>ddd76a25-6832-4b1f-96c0-9793e9896e94</t>
  </si>
  <si>
    <t>3e21ee28-32f8-4660-96ee-95051bb1d44d</t>
  </si>
  <si>
    <t>c04309ab-dadc-4ce8-88e0-9655ff8fc205</t>
  </si>
  <si>
    <t>86250842-83ef-49aa-9adb-b9d1a427f7e9</t>
  </si>
  <si>
    <t>7f40977e-f630-4fda-b336-4911f57710d7</t>
  </si>
  <si>
    <t>fad74ea8-870d-432c-8b4b-c7b10cc91a06</t>
  </si>
  <si>
    <t>09bb6438-d039-4cea-805f-fd6264b406d9</t>
  </si>
  <si>
    <t>337f6b35-a90e-48a5-837c-79f41465de0d</t>
  </si>
  <si>
    <t>ef1b3408-a1d7-4621-8a1a-1857ca9d6f34</t>
  </si>
  <si>
    <t>29d9869e-79a6-4704-836f-576b86d1af14</t>
  </si>
  <si>
    <t>11b8b98d-6e36-43f9-87c7-602630049888</t>
  </si>
  <si>
    <t>91a52007-c27b-40bf-98e1-09cefc19ef6e</t>
  </si>
  <si>
    <t>d6c70906-9617-417f-835d-30aab82a1c2d</t>
  </si>
  <si>
    <t>b7185ab3-a64b-4a05-84a6-1500a5c9492d</t>
  </si>
  <si>
    <t>4bcdc482-6e79-4939-aa7e-523fdbd442be</t>
  </si>
  <si>
    <t>978e77c5-2cd1-4b28-b56a-c58fe60d0197</t>
  </si>
  <si>
    <t>199c683c-a9b2-4dc1-a083-0b9ae0e29bf5</t>
  </si>
  <si>
    <t>4aad4cce-2fd4-4550-a2ea-48aa76a9d0a2</t>
  </si>
  <si>
    <t>eeaf46ef-3af3-4e93-808d-658e47d6a401</t>
  </si>
  <si>
    <t>8af550eb-49e0-444c-8573-7345635931b3</t>
  </si>
  <si>
    <t>Opname</t>
  </si>
  <si>
    <t>Colour Coding of Kostenplaats:</t>
  </si>
  <si>
    <t>CANCELLED OR POSTPONED</t>
  </si>
  <si>
    <t>NEW EVENT (NOT IN PREVIOUS YEAR PLAN)</t>
  </si>
  <si>
    <t>TOOK PLACE AS PLANNED</t>
  </si>
  <si>
    <t xml:space="preserve">CURRENTLY FOR BUDGET REVIEW </t>
  </si>
  <si>
    <t>PPLE  SPONSORSHIP THAT HAS NOT BE DECIDED/DISCUSSED</t>
  </si>
  <si>
    <t>Kostenplaats</t>
  </si>
  <si>
    <t>Budget</t>
  </si>
  <si>
    <t>Realisation</t>
  </si>
  <si>
    <t>Expenses</t>
  </si>
  <si>
    <t>Ticket Amount</t>
  </si>
  <si>
    <t>Ticket Price</t>
  </si>
  <si>
    <t>Income</t>
  </si>
  <si>
    <t>PPLE Funding</t>
  </si>
  <si>
    <t>Total</t>
  </si>
  <si>
    <t>Remaining/ Overrun</t>
  </si>
  <si>
    <t>Awareness Charity work</t>
  </si>
  <si>
    <t>Awareness Holiday Baking</t>
  </si>
  <si>
    <t>Awareness Advent Calendar</t>
  </si>
  <si>
    <t>Awareness Earth Day Cleanup</t>
  </si>
  <si>
    <t>Awareness Nation's Day</t>
  </si>
  <si>
    <t>Awareness International Women's Day</t>
  </si>
  <si>
    <t>Awareness Museum Card</t>
  </si>
  <si>
    <t>Awareness Speaker Event</t>
  </si>
  <si>
    <t xml:space="preserve">Academic Study Sessions </t>
  </si>
  <si>
    <t xml:space="preserve">Academic Book Exchange </t>
  </si>
  <si>
    <t>Academic Rhetoric Speech Event</t>
  </si>
  <si>
    <t>Aca</t>
  </si>
  <si>
    <t>Academic Trip to the ICC</t>
  </si>
  <si>
    <t>Academic Annual debate Cup</t>
  </si>
  <si>
    <t>Academic Drunk Debate</t>
  </si>
  <si>
    <t>Academic MUN/Debates</t>
  </si>
  <si>
    <t xml:space="preserve">Academic Trip to Brussels </t>
  </si>
  <si>
    <t>Art Movie Nights</t>
  </si>
  <si>
    <t xml:space="preserve">Art Sip &amp; Paint </t>
  </si>
  <si>
    <t>Art Gingerbread Workshop</t>
  </si>
  <si>
    <t>Art Beads Event (formerly Pottery workshop)</t>
  </si>
  <si>
    <t xml:space="preserve">Outstanding Sponsorships </t>
  </si>
  <si>
    <t>Art Totebag Competition</t>
  </si>
  <si>
    <t>Event</t>
  </si>
  <si>
    <t>Sports HIIT 1</t>
  </si>
  <si>
    <t>Meetings</t>
  </si>
  <si>
    <t xml:space="preserve">Sports Fuzball Tournament </t>
  </si>
  <si>
    <t>First AID</t>
  </si>
  <si>
    <t xml:space="preserve">Sports Ice Skating </t>
  </si>
  <si>
    <t>ASVA</t>
  </si>
  <si>
    <t>Sports Pool Borrel</t>
  </si>
  <si>
    <t>Supplies</t>
  </si>
  <si>
    <t>Sports Bowling</t>
  </si>
  <si>
    <t>Canva</t>
  </si>
  <si>
    <t>Sports Spin Class</t>
  </si>
  <si>
    <t>Domain</t>
  </si>
  <si>
    <t xml:space="preserve">Sports Football Tournament </t>
  </si>
  <si>
    <t>ING Costs</t>
  </si>
  <si>
    <t>Sports HIIT 3</t>
  </si>
  <si>
    <t>Moneybird</t>
  </si>
  <si>
    <t xml:space="preserve">Sports Volleyball </t>
  </si>
  <si>
    <t>Wix email</t>
  </si>
  <si>
    <t>Party Transition</t>
  </si>
  <si>
    <t>Wix Website</t>
  </si>
  <si>
    <t>Party Christmas</t>
  </si>
  <si>
    <t>CoBo</t>
  </si>
  <si>
    <t>Board</t>
  </si>
  <si>
    <t>Party New Years Borrel</t>
  </si>
  <si>
    <t>GA</t>
  </si>
  <si>
    <t>Party Beer Pong</t>
  </si>
  <si>
    <t>Career Day</t>
  </si>
  <si>
    <t>Party Spring Formal</t>
  </si>
  <si>
    <t>Study Snack</t>
  </si>
  <si>
    <t>Party Boat Party</t>
  </si>
  <si>
    <t>Buddy Reveal Borrel</t>
  </si>
  <si>
    <t>Movie Night</t>
  </si>
  <si>
    <t>Buddy Game night</t>
  </si>
  <si>
    <t>Gingerbread</t>
  </si>
  <si>
    <t>Buddy Easter egg hunt</t>
  </si>
  <si>
    <t>Museumkaart</t>
  </si>
  <si>
    <t>Initiatives</t>
  </si>
  <si>
    <t>Buddy Potluck</t>
  </si>
  <si>
    <t>Totebag</t>
  </si>
  <si>
    <t>Buddy Barbeque Lympics</t>
  </si>
  <si>
    <t>Charity Work</t>
  </si>
  <si>
    <t>Buddy System Prize</t>
  </si>
  <si>
    <t>Advent Calendar</t>
  </si>
  <si>
    <t>Reveal Borrel</t>
  </si>
  <si>
    <t>AMS Unlocked</t>
  </si>
  <si>
    <t>Game night</t>
  </si>
  <si>
    <t>Third Year Weekend</t>
  </si>
  <si>
    <t>Bowling</t>
  </si>
  <si>
    <t>AIM Teams - Football</t>
  </si>
  <si>
    <t>Easter eggs</t>
  </si>
  <si>
    <t>AIM Teams - Volleyball</t>
  </si>
  <si>
    <t>BBQ</t>
  </si>
  <si>
    <t>Freshman Weekend</t>
  </si>
  <si>
    <t>Ice Skating</t>
  </si>
  <si>
    <t>Yearbook</t>
  </si>
  <si>
    <t>Volleyball</t>
  </si>
  <si>
    <t>Memberships</t>
  </si>
  <si>
    <t xml:space="preserve">Music task force </t>
  </si>
  <si>
    <t>AIM Clubs</t>
  </si>
  <si>
    <t>AIM Volleyball</t>
  </si>
  <si>
    <t>Board - General</t>
  </si>
  <si>
    <t>Board - Events</t>
  </si>
  <si>
    <t>END TOTAL</t>
  </si>
  <si>
    <t xml:space="preserve">Total Sponsorship </t>
  </si>
  <si>
    <t>Outstanding Sponsorship</t>
  </si>
  <si>
    <t>Cashbook ING:</t>
  </si>
  <si>
    <t>Current + Sponsorship</t>
  </si>
  <si>
    <t>Required Handover</t>
  </si>
  <si>
    <t xml:space="preserve"> </t>
  </si>
  <si>
    <t>Outstanding Invoices</t>
  </si>
  <si>
    <t>Intro Party</t>
  </si>
  <si>
    <t>General Assembly</t>
  </si>
  <si>
    <t>Lustrum Fund</t>
  </si>
  <si>
    <t>GA Borrel</t>
  </si>
  <si>
    <t>Surplus</t>
  </si>
  <si>
    <t xml:space="preserve"> Kostenplaats</t>
  </si>
  <si>
    <t xml:space="preserve"> Kostensoort</t>
  </si>
  <si>
    <t>PPLE Sponsorship</t>
  </si>
  <si>
    <t>Remaining / Overrun</t>
  </si>
  <si>
    <t>Internal Expenses</t>
  </si>
  <si>
    <t>ASVA Membership</t>
  </si>
  <si>
    <t>Account 23/24</t>
  </si>
  <si>
    <t>Moving to/from Lustrum Savings</t>
  </si>
  <si>
    <t>Moving to/from Baseline Savings</t>
  </si>
  <si>
    <t>Board 25/26 Sweaters</t>
  </si>
  <si>
    <t>Board Room (Office &amp; Cleaning Supplies)</t>
  </si>
  <si>
    <t>Corporate Sponsors</t>
  </si>
  <si>
    <t>Canva Pro</t>
  </si>
  <si>
    <t>Photos</t>
  </si>
  <si>
    <t xml:space="preserve">Domain </t>
  </si>
  <si>
    <t>External Income Dutch Course</t>
  </si>
  <si>
    <t>First AID x7</t>
  </si>
  <si>
    <t>Bystander Training (Faculty of Law)</t>
  </si>
  <si>
    <t xml:space="preserve">ING Credit Card Costs </t>
  </si>
  <si>
    <t>ING Transaction Costs</t>
  </si>
  <si>
    <t>Old Board Appreciation</t>
  </si>
  <si>
    <t>Transportation Costs</t>
  </si>
  <si>
    <t>Unforeseen Costs</t>
  </si>
  <si>
    <t>Unforeseen Income</t>
  </si>
  <si>
    <t>Treasurer Excel Course</t>
  </si>
  <si>
    <t>Wix Email</t>
  </si>
  <si>
    <t>Sub Total</t>
  </si>
  <si>
    <t>Events</t>
  </si>
  <si>
    <t>Association meetings</t>
  </si>
  <si>
    <t>Boardweekend (Nov)</t>
  </si>
  <si>
    <t>Boardweekend (Jan)</t>
  </si>
  <si>
    <t>Boardweekend (May)</t>
  </si>
  <si>
    <t>Boardweekend (Transition weekend)</t>
  </si>
  <si>
    <t>COBO 2023</t>
  </si>
  <si>
    <t xml:space="preserve">Committee Appreciation </t>
  </si>
  <si>
    <t>Committee Workshop</t>
  </si>
  <si>
    <t>General Assemblies 24/25</t>
  </si>
  <si>
    <t>Member Appreciation</t>
  </si>
  <si>
    <t xml:space="preserve">Election night </t>
  </si>
  <si>
    <t>Board-organized Borrel (PPE)</t>
  </si>
  <si>
    <t>Board-organized Borrel (MAA)</t>
  </si>
  <si>
    <t>Board-organized Borrel (AUC)</t>
  </si>
  <si>
    <t>Borrel 1</t>
  </si>
  <si>
    <t>Borrel 2</t>
  </si>
  <si>
    <t>Borrel 3</t>
  </si>
  <si>
    <t xml:space="preserve"> END TOTAL</t>
  </si>
  <si>
    <t>Memberships 24/25</t>
  </si>
  <si>
    <t>Realisations</t>
  </si>
  <si>
    <t xml:space="preserve">Membership </t>
  </si>
  <si>
    <t xml:space="preserve"># of Tickets </t>
  </si>
  <si>
    <t>Price of Tickets</t>
  </si>
  <si>
    <t xml:space="preserve">Study Sessions </t>
  </si>
  <si>
    <t>Snacks</t>
  </si>
  <si>
    <t xml:space="preserve">Member Tickets </t>
  </si>
  <si>
    <t>Non-Member Tickets</t>
  </si>
  <si>
    <t>Event Total</t>
  </si>
  <si>
    <t>Book Exchange</t>
  </si>
  <si>
    <t xml:space="preserve">Snacks </t>
  </si>
  <si>
    <t xml:space="preserve">Rhetoric Speech Event </t>
  </si>
  <si>
    <t>Venue + Drinks</t>
  </si>
  <si>
    <t>Roses</t>
  </si>
  <si>
    <t>Trip to the ICC</t>
  </si>
  <si>
    <t>Train Tickets (60)</t>
  </si>
  <si>
    <t>Annual debate cup againt PPE</t>
  </si>
  <si>
    <t>Prize</t>
  </si>
  <si>
    <t>Drunk Debate with AUC</t>
  </si>
  <si>
    <t>Snacks/Drinks</t>
  </si>
  <si>
    <t>Speaker event with diversity board and Awareness</t>
  </si>
  <si>
    <t>Compensation</t>
  </si>
  <si>
    <t>Member Tickets</t>
  </si>
  <si>
    <t>MUN/Debate</t>
  </si>
  <si>
    <t>Trip to Brussels</t>
  </si>
  <si>
    <t>Transportation</t>
  </si>
  <si>
    <t>Non-member Tickets</t>
  </si>
  <si>
    <t># of Tickets</t>
  </si>
  <si>
    <t>Reoccuring movie nights</t>
  </si>
  <si>
    <t>Snacks&amp;Drinks</t>
  </si>
  <si>
    <t>Supplies &amp; Decoration</t>
  </si>
  <si>
    <t xml:space="preserve">Sip &amp; Paint </t>
  </si>
  <si>
    <t>Drinks</t>
  </si>
  <si>
    <t>Art Supplies</t>
  </si>
  <si>
    <t>Gingerbread Workshop</t>
  </si>
  <si>
    <t>Decoration</t>
  </si>
  <si>
    <t>Hot chocolate &amp; Snacks</t>
  </si>
  <si>
    <t>Decoration &amp; Supplies</t>
  </si>
  <si>
    <t>Pottery session</t>
  </si>
  <si>
    <t>Drinks &amp; Snacks</t>
  </si>
  <si>
    <t>Location and supplies</t>
  </si>
  <si>
    <t>Unforeseen</t>
  </si>
  <si>
    <t xml:space="preserve">Museum card </t>
  </si>
  <si>
    <t>Museumcards</t>
  </si>
  <si>
    <t>Totebag Competition</t>
  </si>
  <si>
    <t>Totebags</t>
  </si>
  <si>
    <t>Paint and Supplies</t>
  </si>
  <si>
    <t>Event total</t>
  </si>
  <si>
    <t xml:space="preserve">Gifts </t>
  </si>
  <si>
    <t>Holiday baking</t>
  </si>
  <si>
    <t>Earth day Cleanup</t>
  </si>
  <si>
    <t>Cleaning supplies</t>
  </si>
  <si>
    <t>International Nations Day</t>
  </si>
  <si>
    <t>International Women's Day</t>
  </si>
  <si>
    <t>Museum Cards</t>
  </si>
  <si>
    <t>Museumcard</t>
  </si>
  <si>
    <t>Speaker event</t>
  </si>
  <si>
    <t>Location</t>
  </si>
  <si>
    <t>Tech</t>
  </si>
  <si>
    <t>Exp. Q Sold</t>
  </si>
  <si>
    <t>Price Per Unit</t>
  </si>
  <si>
    <t>Tokens</t>
  </si>
  <si>
    <t xml:space="preserve">Supplies </t>
  </si>
  <si>
    <t>Secret Santa &amp; Gingerbreadhouse building competition</t>
  </si>
  <si>
    <t>Hot Chocolat &amp; Snacks</t>
  </si>
  <si>
    <t>Venue</t>
  </si>
  <si>
    <t>Games</t>
  </si>
  <si>
    <t>Lanes</t>
  </si>
  <si>
    <t xml:space="preserve">Easter egg hunt </t>
  </si>
  <si>
    <t>Cakes</t>
  </si>
  <si>
    <t xml:space="preserve">End Total </t>
  </si>
  <si>
    <t>Sip &amp; Paint</t>
  </si>
  <si>
    <t xml:space="preserve">Drinks </t>
  </si>
  <si>
    <t>Pot Luck</t>
  </si>
  <si>
    <t>Food</t>
  </si>
  <si>
    <t>Food &amp; Drinks</t>
  </si>
  <si>
    <t>Member Tickets Participant</t>
  </si>
  <si>
    <t>Non-Member Tickets Participant</t>
  </si>
  <si>
    <t>Member Tickets Spectator</t>
  </si>
  <si>
    <t>Non-Member Tickets Spectator</t>
  </si>
  <si>
    <t>Halloween Party</t>
  </si>
  <si>
    <t>DJ</t>
  </si>
  <si>
    <t>Christmas Party</t>
  </si>
  <si>
    <t>Other associations share</t>
  </si>
  <si>
    <t>New Years Borrel</t>
  </si>
  <si>
    <t xml:space="preserve">Tokens </t>
  </si>
  <si>
    <t>Beer Pong</t>
  </si>
  <si>
    <t>Spring Formal</t>
  </si>
  <si>
    <t>Location + Drinks</t>
  </si>
  <si>
    <t>Photographer</t>
  </si>
  <si>
    <t>Band</t>
  </si>
  <si>
    <t>Drinks sales</t>
  </si>
  <si>
    <t xml:space="preserve">Buddy Barbeque Lympics </t>
  </si>
  <si>
    <t xml:space="preserve">Unforeseen </t>
  </si>
  <si>
    <t xml:space="preserve">Pride Boat Party </t>
  </si>
  <si>
    <t>Cost per ticket</t>
  </si>
  <si>
    <t>Unforseen costs</t>
  </si>
  <si>
    <t>Transition Party (2025)</t>
  </si>
  <si>
    <t>Loaction</t>
  </si>
  <si>
    <t>Unforseen Costs</t>
  </si>
  <si>
    <t xml:space="preserve">Fuzball Tournament </t>
  </si>
  <si>
    <t xml:space="preserve">Event Total </t>
  </si>
  <si>
    <t>HIIT 1</t>
  </si>
  <si>
    <t>Skates rent</t>
  </si>
  <si>
    <t>Pool Borrel</t>
  </si>
  <si>
    <t>Tables</t>
  </si>
  <si>
    <t>Spinning Class</t>
  </si>
  <si>
    <t xml:space="preserve">Football Tournament </t>
  </si>
  <si>
    <t>Drinks / Snacks</t>
  </si>
  <si>
    <t>Trophy/Prize</t>
  </si>
  <si>
    <t>HIIT 3</t>
  </si>
  <si>
    <t>Volleyball Tournament</t>
  </si>
  <si>
    <t>Food/Drinks</t>
  </si>
  <si>
    <t xml:space="preserve">Expenses </t>
  </si>
  <si>
    <t>Expsenses</t>
  </si>
  <si>
    <t>Exp. Q sold</t>
  </si>
  <si>
    <t>Price per unit</t>
  </si>
  <si>
    <t>Accommodation</t>
  </si>
  <si>
    <t>Transport</t>
  </si>
  <si>
    <t>General Supplies</t>
  </si>
  <si>
    <t>Gas</t>
  </si>
  <si>
    <t>Staff Merch</t>
  </si>
  <si>
    <t>Token Sale</t>
  </si>
  <si>
    <t>Tickets Member</t>
  </si>
  <si>
    <t>Total (Inc.)</t>
  </si>
  <si>
    <t>Cleaning</t>
  </si>
  <si>
    <t>Activities</t>
  </si>
  <si>
    <t>Drink Sales</t>
  </si>
  <si>
    <t>Tickets</t>
  </si>
  <si>
    <t>Total Expenses</t>
  </si>
  <si>
    <t>Books</t>
  </si>
  <si>
    <t>Park Introduction Event</t>
  </si>
  <si>
    <t>Supplies &amp; Snacks</t>
  </si>
  <si>
    <t>Club</t>
  </si>
  <si>
    <t>Karaoke</t>
  </si>
  <si>
    <t>Unforseen</t>
  </si>
  <si>
    <t xml:space="preserve">Tickets </t>
  </si>
  <si>
    <t>Intro day</t>
  </si>
  <si>
    <t xml:space="preserve">Ticket sale (3euros) </t>
  </si>
  <si>
    <t xml:space="preserve">Pub crawl </t>
  </si>
  <si>
    <t>Materials</t>
  </si>
  <si>
    <t>Pizza and Drinks</t>
  </si>
  <si>
    <t>Ticket sale (4euros)</t>
  </si>
  <si>
    <t xml:space="preserve">avenger hunt + pizza party </t>
  </si>
  <si>
    <t xml:space="preserve">each day </t>
  </si>
  <si>
    <t>Vouchers</t>
  </si>
  <si>
    <t xml:space="preserve">Final Borrel </t>
  </si>
  <si>
    <t>Beer</t>
  </si>
  <si>
    <t>Remaining</t>
  </si>
  <si>
    <t>Festival AIM</t>
  </si>
  <si>
    <t xml:space="preserve">Investment </t>
  </si>
  <si>
    <t xml:space="preserve">Liquidity </t>
  </si>
  <si>
    <t>Promissing Profit</t>
  </si>
  <si>
    <t>Music Club</t>
  </si>
  <si>
    <t xml:space="preserve">Rooms for Practice </t>
  </si>
  <si>
    <t>AIM Football</t>
  </si>
  <si>
    <t xml:space="preserve">Court supplies renting </t>
  </si>
  <si>
    <t>Year Membership Non-Members</t>
  </si>
  <si>
    <t xml:space="preserve">TOTAL </t>
  </si>
  <si>
    <t>Item Amount</t>
  </si>
  <si>
    <t>Item Price</t>
  </si>
  <si>
    <t>Merch</t>
  </si>
  <si>
    <t>Bought Crewnecks</t>
  </si>
  <si>
    <t>Bought Hoodies</t>
  </si>
  <si>
    <t>Name: KALLIOPPE Description: KallioPPE Invoice Payment Glow-in-the-dark Party IBAN: NL51ABNA0211182222 Date/time: 16-10-2025 11:14:42 Value date: 16/10/2025</t>
  </si>
  <si>
    <t>Name: Wesley Kraan Description: BE - Meetings IBAN: NL65SNSB0772674604 Value date: 16/10/2025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</si>
</sst>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43" formatCode="_-* #,##0.00_-;\-* #,##0.00_-;_-* &quot;-&quot;??_-;_-@_-"/>
    <numFmt numFmtId="164" formatCode="_(&quot;¥&quot;* #,##0_);_(&quot;¥&quot;* \(#,##0\);_(&quot;¥&quot;* &quot;-&quot;_);_(@_)"/>
    <numFmt numFmtId="165" formatCode="_-&quot;£&quot;* #,##0.00_-;\-&quot;£&quot;* #,##0.00_-;_-&quot;£&quot;* &quot;-&quot;??_-;_-@_-"/>
    <numFmt numFmtId="166" formatCode="[$€-2]\ #,##0.00;[Red][$€-2]\ #,##0.00"/>
    <numFmt numFmtId="167" formatCode="_([$€-2]\ * #,##0.00_);_([$€-2]\ * \(#,##0.00\);_([$€-2]\ * &quot;-&quot;??_);_(@_)"/>
    <numFmt numFmtId="168" formatCode="_-[$€-2]\ * #,##0.00_-;\-[$€-2]\ * #,##0.00_-;_-[$€-2]\ * &quot;-&quot;??_-;_-@_-"/>
    <numFmt numFmtId="169" formatCode="_ [$€-2]\ * #,##0.00_ ;_ [$€-2]\ * \-#,##0.00_ ;_ [$€-2]\ * &quot;-&quot;??_ ;_ @_ "/>
    <numFmt numFmtId="170" formatCode="&quot;£&quot;#,##0.00"/>
    <numFmt numFmtId="171" formatCode="#,##0.00\ [$€-407];[Red]\-#,##0.00\ [$€-407]"/>
    <numFmt numFmtId="172" formatCode="[$€]#,##0.00"/>
    <numFmt numFmtId="173" formatCode="#,##0.00\ [$€-1]"/>
    <numFmt numFmtId="174" formatCode="[$€-2]\ #,##0.00"/>
    <numFmt numFmtId="175" formatCode="&quot;€&quot;\ #,##0.00"/>
    <numFmt numFmtId="176" formatCode="&quot;€&quot;#,##0.00"/>
    <numFmt numFmtId="177" formatCode="#,##0.00_-\ [$€-1]"/>
    <numFmt numFmtId="178" formatCode="#,##0.00\ &quot;€&quot;"/>
  </numFmts>
  <fonts count="91" x14ac:knownFonts="1">
    <font>
      <sz val="11"/>
      <color theme="1"/>
      <name val="Calibri"/>
      <family val="2"/>
      <scheme val="minor"/>
    </font>
    <font>
      <sz val="11"/>
      <color theme="1"/>
      <name val="Calibri"/>
      <family val="2"/>
      <scheme val="minor"/>
    </font>
    <font>
      <sz val="12"/>
      <color theme="1"/>
      <name val="Calibri"/>
      <family val="2"/>
      <scheme val="minor"/>
    </font>
    <font>
      <sz val="10"/>
      <color rgb="FF000000"/>
      <name val="Arial"/>
      <family val="2"/>
    </font>
    <font>
      <sz val="12"/>
      <color rgb="FF000000"/>
      <name val="Calibri"/>
      <family val="2"/>
    </font>
    <font>
      <b/>
      <sz val="14"/>
      <name val="Calibri"/>
      <family val="2"/>
      <scheme val="minor"/>
    </font>
    <font>
      <sz val="10"/>
      <color theme="1"/>
      <name val="Arial"/>
      <family val="2"/>
    </font>
    <font>
      <b/>
      <sz val="20"/>
      <color rgb="FF000000"/>
      <name val="Calibri"/>
      <family val="2"/>
    </font>
    <font>
      <sz val="20"/>
      <color rgb="FF000000"/>
      <name val="Calibri"/>
      <family val="2"/>
    </font>
    <font>
      <sz val="20"/>
      <color theme="1"/>
      <name val="Calibri"/>
      <family val="2"/>
    </font>
    <font>
      <sz val="20"/>
      <color theme="1"/>
      <name val="Calibri"/>
      <family val="2"/>
      <scheme val="minor"/>
    </font>
    <font>
      <b/>
      <sz val="20"/>
      <color theme="1"/>
      <name val="Calibri"/>
      <family val="2"/>
      <scheme val="minor"/>
    </font>
    <font>
      <b/>
      <sz val="20"/>
      <color rgb="FF000000"/>
      <name val="Calibri"/>
      <family val="2"/>
      <scheme val="minor"/>
    </font>
    <font>
      <b/>
      <sz val="20"/>
      <color theme="1"/>
      <name val="Calibri"/>
      <family val="2"/>
    </font>
    <font>
      <sz val="20"/>
      <color theme="1"/>
      <name val="Arial"/>
      <family val="2"/>
    </font>
    <font>
      <sz val="20"/>
      <color rgb="FFFF0000"/>
      <name val="Calibri"/>
      <family val="2"/>
      <scheme val="minor"/>
    </font>
    <font>
      <b/>
      <sz val="20"/>
      <color rgb="FF000000"/>
      <name val="Calibri Light"/>
      <family val="2"/>
      <scheme val="major"/>
    </font>
    <font>
      <sz val="20"/>
      <name val="Calibri"/>
      <family val="2"/>
      <scheme val="minor"/>
    </font>
    <font>
      <b/>
      <sz val="20"/>
      <name val="Calibri"/>
      <family val="2"/>
      <scheme val="minor"/>
    </font>
    <font>
      <sz val="20"/>
      <color theme="1"/>
      <name val="Calibri Light"/>
      <family val="2"/>
      <scheme val="major"/>
    </font>
    <font>
      <sz val="12"/>
      <name val="Arial"/>
      <family val="2"/>
    </font>
    <font>
      <sz val="13"/>
      <color theme="1"/>
      <name val="Calibri"/>
      <family val="2"/>
      <scheme val="minor"/>
    </font>
    <font>
      <b/>
      <sz val="20"/>
      <color theme="0"/>
      <name val="Helvetica"/>
      <family val="2"/>
    </font>
    <font>
      <b/>
      <sz val="10"/>
      <color theme="1"/>
      <name val="Nunito"/>
    </font>
    <font>
      <sz val="10"/>
      <name val="Arial"/>
      <family val="2"/>
    </font>
    <font>
      <sz val="10"/>
      <color theme="1"/>
      <name val="Nunito"/>
    </font>
    <font>
      <sz val="11"/>
      <color rgb="FF000000"/>
      <name val="Calibri"/>
      <family val="2"/>
      <scheme val="minor"/>
    </font>
    <font>
      <sz val="8"/>
      <name val="Calibri"/>
      <family val="2"/>
      <scheme val="minor"/>
    </font>
    <font>
      <u/>
      <sz val="11"/>
      <color theme="10"/>
      <name val="Calibri"/>
      <family val="2"/>
      <scheme val="minor"/>
    </font>
    <font>
      <b/>
      <i/>
      <sz val="11"/>
      <color theme="1"/>
      <name val="Calibri"/>
      <family val="2"/>
      <scheme val="minor"/>
    </font>
    <font>
      <b/>
      <sz val="20"/>
      <color theme="0"/>
      <name val="Calibri"/>
      <family val="2"/>
    </font>
    <font>
      <sz val="20"/>
      <color theme="0"/>
      <name val="Calibri"/>
      <family val="2"/>
    </font>
    <font>
      <b/>
      <sz val="20"/>
      <name val="Calibri"/>
      <family val="2"/>
    </font>
    <font>
      <b/>
      <sz val="20"/>
      <color rgb="FFFFFFFF"/>
      <name val="Calibri"/>
      <family val="2"/>
      <scheme val="minor"/>
    </font>
    <font>
      <sz val="20"/>
      <color rgb="FFFF0000"/>
      <name val="Calibri"/>
      <family val="2"/>
    </font>
    <font>
      <sz val="20"/>
      <name val="Calibri"/>
      <family val="2"/>
    </font>
    <font>
      <sz val="10"/>
      <color rgb="FF000000"/>
      <name val="Helvetica Neue"/>
      <family val="2"/>
    </font>
    <font>
      <b/>
      <sz val="10"/>
      <color rgb="FF000000"/>
      <name val="Helvetica Neue"/>
      <family val="2"/>
    </font>
    <font>
      <sz val="12"/>
      <color theme="1"/>
      <name val="Helvetica"/>
      <family val="2"/>
    </font>
    <font>
      <u/>
      <sz val="11"/>
      <color theme="11"/>
      <name val="Calibri"/>
      <family val="2"/>
      <scheme val="minor"/>
    </font>
    <font>
      <sz val="12"/>
      <color theme="1"/>
      <name val="Calibri"/>
      <family val="2"/>
      <charset val="1"/>
    </font>
    <font>
      <b/>
      <sz val="11"/>
      <color theme="1"/>
      <name val="Calibri"/>
      <family val="2"/>
      <scheme val="minor"/>
    </font>
    <font>
      <sz val="11"/>
      <color rgb="FF000000"/>
      <name val="Calibri"/>
      <family val="2"/>
    </font>
    <font>
      <b/>
      <sz val="11"/>
      <color rgb="FF000000"/>
      <name val="Calibri"/>
      <family val="2"/>
      <scheme val="minor"/>
    </font>
    <font>
      <sz val="24"/>
      <color theme="1"/>
      <name val="Calibri"/>
      <family val="2"/>
    </font>
    <font>
      <b/>
      <sz val="24"/>
      <color theme="1"/>
      <name val="Calibri"/>
      <family val="2"/>
    </font>
    <font>
      <sz val="24"/>
      <color theme="1"/>
      <name val="Arial"/>
      <family val="2"/>
    </font>
    <font>
      <sz val="24"/>
      <color theme="1"/>
      <name val="Calibri"/>
      <family val="2"/>
      <scheme val="minor"/>
    </font>
    <font>
      <b/>
      <sz val="24"/>
      <color rgb="FF000000"/>
      <name val="Calibri"/>
      <family val="2"/>
      <scheme val="minor"/>
    </font>
    <font>
      <b/>
      <sz val="24"/>
      <color rgb="FF000000"/>
      <name val="Calibri"/>
      <family val="2"/>
    </font>
    <font>
      <b/>
      <sz val="24"/>
      <color theme="1"/>
      <name val="Calibri"/>
      <family val="2"/>
      <scheme val="minor"/>
    </font>
    <font>
      <b/>
      <sz val="24"/>
      <name val="Calibri"/>
      <family val="2"/>
    </font>
    <font>
      <b/>
      <sz val="22"/>
      <color theme="1"/>
      <name val="Calibri"/>
      <family val="2"/>
    </font>
    <font>
      <sz val="22"/>
      <color theme="1"/>
      <name val="Calibri"/>
      <family val="2"/>
      <scheme val="minor"/>
    </font>
    <font>
      <sz val="22"/>
      <color theme="1"/>
      <name val="Calibri Light"/>
      <family val="2"/>
      <scheme val="major"/>
    </font>
    <font>
      <sz val="24"/>
      <color rgb="FF000000"/>
      <name val="Calibri"/>
      <family val="2"/>
    </font>
    <font>
      <sz val="24"/>
      <color rgb="FF2F394D"/>
      <name val="Arial Black"/>
      <family val="2"/>
    </font>
    <font>
      <sz val="16"/>
      <color rgb="FF000000"/>
      <name val="Arial Black"/>
      <family val="2"/>
    </font>
    <font>
      <b/>
      <sz val="24"/>
      <color theme="1"/>
      <name val="Arial"/>
      <family val="2"/>
    </font>
    <font>
      <b/>
      <sz val="14"/>
      <color theme="1"/>
      <name val="Arial"/>
      <family val="2"/>
    </font>
    <font>
      <sz val="14"/>
      <color theme="1"/>
      <name val="Arial"/>
      <family val="2"/>
    </font>
    <font>
      <b/>
      <sz val="18"/>
      <color theme="0"/>
      <name val="Arial"/>
      <family val="2"/>
    </font>
    <font>
      <b/>
      <sz val="18"/>
      <color theme="1"/>
      <name val="Arial"/>
      <family val="2"/>
    </font>
    <font>
      <sz val="18"/>
      <color theme="1"/>
      <name val="Arial"/>
      <family val="2"/>
    </font>
    <font>
      <sz val="18"/>
      <color theme="0"/>
      <name val="Arial"/>
      <family val="2"/>
    </font>
    <font>
      <sz val="24"/>
      <color rgb="FF2F394D"/>
      <name val="Arial"/>
      <family val="2"/>
    </font>
    <font>
      <sz val="16"/>
      <color rgb="FF000000"/>
      <name val="Arial"/>
      <family val="2"/>
    </font>
    <font>
      <b/>
      <sz val="11"/>
      <color theme="0"/>
      <name val="Arial"/>
      <family val="2"/>
    </font>
    <font>
      <sz val="11"/>
      <color rgb="FF000000"/>
      <name val="Arial"/>
      <family val="2"/>
    </font>
    <font>
      <sz val="14"/>
      <color rgb="FF000000"/>
      <name val="Arial"/>
      <family val="2"/>
    </font>
    <font>
      <sz val="11"/>
      <color theme="0"/>
      <name val="Arial"/>
      <family val="2"/>
    </font>
    <font>
      <sz val="11"/>
      <color theme="1"/>
      <name val="Arial"/>
      <family val="2"/>
    </font>
    <font>
      <b/>
      <sz val="20"/>
      <color rgb="FFFFFFFF"/>
      <name val="Calibri"/>
      <family val="2"/>
    </font>
    <font>
      <sz val="20"/>
      <color theme="3" tint="-0.499984740745262"/>
      <name val="Calibri"/>
      <family val="2"/>
    </font>
    <font>
      <sz val="20"/>
      <color theme="0"/>
      <name val="Arial"/>
      <family val="2"/>
    </font>
    <font>
      <sz val="20"/>
      <color theme="3" tint="-0.499984740745262"/>
      <name val="Arial"/>
      <family val="2"/>
    </font>
    <font>
      <b/>
      <sz val="20"/>
      <color rgb="FFFFFFFF"/>
      <name val="Arial"/>
      <family val="2"/>
    </font>
    <font>
      <b/>
      <sz val="20"/>
      <color theme="1"/>
      <name val="Arial"/>
      <family val="2"/>
    </font>
    <font>
      <b/>
      <sz val="20"/>
      <name val="Arial"/>
      <family val="2"/>
    </font>
    <font>
      <sz val="20"/>
      <color rgb="FF121429"/>
      <name val="Arial"/>
      <family val="2"/>
    </font>
    <font>
      <sz val="20"/>
      <color rgb="FFFFFFFF"/>
      <name val="Arial"/>
      <family val="2"/>
    </font>
    <font>
      <b/>
      <sz val="16"/>
      <color rgb="FFFF0000"/>
      <name val="Calibri"/>
      <family val="2"/>
      <scheme val="minor"/>
    </font>
    <font>
      <sz val="16"/>
      <color rgb="FFFF0000"/>
      <name val="Calibri"/>
      <family val="2"/>
      <scheme val="minor"/>
    </font>
    <font>
      <b/>
      <sz val="20"/>
      <color rgb="FF000000"/>
      <name val="Arial"/>
      <family val="2"/>
    </font>
    <font>
      <sz val="11"/>
      <color rgb="FF000000"/>
      <name val="Consolas"/>
      <family val="2"/>
    </font>
    <font>
      <sz val="12"/>
      <color rgb="FF000000"/>
      <name val="Calibri"/>
      <family val="2"/>
      <scheme val="minor"/>
    </font>
    <font>
      <sz val="10"/>
      <color rgb="FF000000"/>
      <name val="Tahoma"/>
      <family val="2"/>
    </font>
    <font>
      <b/>
      <sz val="10"/>
      <color rgb="FF000000"/>
      <name val="Tahoma"/>
      <family val="2"/>
    </font>
    <font>
      <sz val="10"/>
      <color rgb="FF000000"/>
      <name val="Calibri"/>
      <family val="2"/>
    </font>
    <font>
      <u/>
      <sz val="10"/>
      <color rgb="FF000000"/>
      <name val="Helvetica Neue"/>
      <family val="2"/>
    </font>
    <font>
      <sz val="10"/>
      <color rgb="FF000000"/>
      <name val="STIX Two Math"/>
      <family val="1"/>
    </font>
  </fonts>
  <fills count="54">
    <fill>
      <patternFill patternType="none"/>
    </fill>
    <fill>
      <patternFill patternType="gray125"/>
    </fill>
    <fill>
      <patternFill patternType="solid">
        <fgColor rgb="FF002060"/>
        <bgColor indexed="64"/>
      </patternFill>
    </fill>
    <fill>
      <patternFill patternType="solid">
        <fgColor theme="5" tint="0.39997558519241921"/>
        <bgColor indexed="64"/>
      </patternFill>
    </fill>
    <fill>
      <patternFill patternType="solid">
        <fgColor rgb="FF00B0F0"/>
        <bgColor indexed="64"/>
      </patternFill>
    </fill>
    <fill>
      <patternFill patternType="solid">
        <fgColor rgb="FFC00000"/>
        <bgColor indexed="64"/>
      </patternFill>
    </fill>
    <fill>
      <patternFill patternType="solid">
        <fgColor rgb="FF00B05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bgColor indexed="64"/>
      </patternFill>
    </fill>
    <fill>
      <patternFill patternType="solid">
        <fgColor theme="4" tint="0.59999389629810485"/>
        <bgColor indexed="64"/>
      </patternFill>
    </fill>
    <fill>
      <patternFill patternType="solid">
        <fgColor theme="5"/>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rgb="FF002060"/>
        <bgColor rgb="FFF4B084"/>
      </patternFill>
    </fill>
    <fill>
      <patternFill patternType="solid">
        <fgColor rgb="FFFFFFFF"/>
        <bgColor indexed="64"/>
      </patternFill>
    </fill>
    <fill>
      <patternFill patternType="solid">
        <fgColor rgb="FFC65911"/>
        <bgColor indexed="64"/>
      </patternFill>
    </fill>
    <fill>
      <patternFill patternType="solid">
        <fgColor rgb="FFFFF2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59999389629810485"/>
        <bgColor rgb="FF000000"/>
      </patternFill>
    </fill>
    <fill>
      <patternFill patternType="solid">
        <fgColor theme="6" tint="0.59999389629810485"/>
        <bgColor rgb="FF000000"/>
      </patternFill>
    </fill>
    <fill>
      <patternFill patternType="solid">
        <fgColor theme="3" tint="0.39997558519241921"/>
        <bgColor rgb="FFAD84C6"/>
      </patternFill>
    </fill>
    <fill>
      <patternFill patternType="solid">
        <fgColor theme="3" tint="-0.249977111117893"/>
        <bgColor rgb="FFAD84C6"/>
      </patternFill>
    </fill>
    <fill>
      <patternFill patternType="solid">
        <fgColor theme="3" tint="0.79998168889431442"/>
        <bgColor rgb="FFEFE7F3"/>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rgb="FFF7B3B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0.89999084444715716"/>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A1E2ED"/>
        <bgColor indexed="64"/>
      </patternFill>
    </fill>
    <fill>
      <patternFill patternType="solid">
        <fgColor rgb="FFFF0000"/>
        <bgColor indexed="64"/>
      </patternFill>
    </fill>
    <fill>
      <patternFill patternType="solid">
        <fgColor rgb="FFE89995"/>
        <bgColor indexed="64"/>
      </patternFill>
    </fill>
    <fill>
      <patternFill patternType="solid">
        <fgColor rgb="FFDCB7EF"/>
        <bgColor indexed="64"/>
      </patternFill>
    </fill>
  </fills>
  <borders count="141">
    <border>
      <left/>
      <right/>
      <top/>
      <bottom/>
      <diagonal/>
    </border>
    <border>
      <left style="medium">
        <color auto="1"/>
      </left>
      <right/>
      <top/>
      <bottom/>
      <diagonal/>
    </border>
    <border>
      <left/>
      <right/>
      <top/>
      <bottom style="thin">
        <color auto="1"/>
      </bottom>
      <diagonal/>
    </border>
    <border>
      <left/>
      <right style="medium">
        <color auto="1"/>
      </right>
      <top/>
      <bottom/>
      <diagonal/>
    </border>
    <border>
      <left/>
      <right style="thin">
        <color auto="1"/>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medium">
        <color auto="1"/>
      </right>
      <top/>
      <bottom/>
      <diagonal/>
    </border>
    <border>
      <left/>
      <right/>
      <top style="thin">
        <color rgb="FF000000"/>
      </top>
      <bottom style="thin">
        <color rgb="FF000000"/>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right/>
      <top style="medium">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bottom style="medium">
        <color auto="1"/>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auto="1"/>
      </top>
      <bottom style="thin">
        <color auto="1"/>
      </bottom>
      <diagonal/>
    </border>
    <border>
      <left/>
      <right style="medium">
        <color auto="1"/>
      </right>
      <top style="thin">
        <color rgb="FF000000"/>
      </top>
      <bottom/>
      <diagonal/>
    </border>
    <border>
      <left style="thin">
        <color auto="1"/>
      </left>
      <right style="medium">
        <color auto="1"/>
      </right>
      <top style="thin">
        <color rgb="FF000000"/>
      </top>
      <bottom style="thin">
        <color rgb="FF000000"/>
      </bottom>
      <diagonal/>
    </border>
    <border>
      <left/>
      <right style="medium">
        <color auto="1"/>
      </right>
      <top/>
      <bottom style="thin">
        <color rgb="FF000000"/>
      </bottom>
      <diagonal/>
    </border>
    <border>
      <left style="medium">
        <color auto="1"/>
      </left>
      <right/>
      <top style="thin">
        <color rgb="FF000000"/>
      </top>
      <bottom style="thin">
        <color rgb="FF000000"/>
      </bottom>
      <diagonal/>
    </border>
    <border>
      <left style="thin">
        <color auto="1"/>
      </left>
      <right style="medium">
        <color auto="1"/>
      </right>
      <top style="thin">
        <color auto="1"/>
      </top>
      <bottom style="thin">
        <color auto="1"/>
      </bottom>
      <diagonal/>
    </border>
    <border>
      <left style="thin">
        <color auto="1"/>
      </left>
      <right/>
      <top style="thin">
        <color rgb="FF000000"/>
      </top>
      <bottom style="thin">
        <color rgb="FF000000"/>
      </bottom>
      <diagonal/>
    </border>
    <border>
      <left/>
      <right/>
      <top style="thin">
        <color auto="1"/>
      </top>
      <bottom style="thin">
        <color rgb="FF000000"/>
      </bottom>
      <diagonal/>
    </border>
    <border>
      <left style="medium">
        <color rgb="FF000000"/>
      </left>
      <right/>
      <top style="medium">
        <color rgb="FF000000"/>
      </top>
      <bottom/>
      <diagonal/>
    </border>
    <border>
      <left style="medium">
        <color rgb="FF000000"/>
      </left>
      <right style="thin">
        <color auto="1"/>
      </right>
      <top style="thin">
        <color auto="1"/>
      </top>
      <bottom/>
      <diagonal/>
    </border>
    <border>
      <left style="medium">
        <color rgb="FF000000"/>
      </left>
      <right style="thin">
        <color auto="1"/>
      </right>
      <top/>
      <bottom/>
      <diagonal/>
    </border>
    <border>
      <left style="medium">
        <color rgb="FF000000"/>
      </left>
      <right style="thin">
        <color auto="1"/>
      </right>
      <top/>
      <bottom style="thin">
        <color auto="1"/>
      </bottom>
      <diagonal/>
    </border>
    <border>
      <left style="medium">
        <color rgb="FF000000"/>
      </left>
      <right style="thin">
        <color auto="1"/>
      </right>
      <top style="thin">
        <color auto="1"/>
      </top>
      <bottom style="medium">
        <color rgb="FF000000"/>
      </bottom>
      <diagonal/>
    </border>
    <border>
      <left/>
      <right/>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auto="1"/>
      </top>
      <bottom style="thin">
        <color rgb="FF000000"/>
      </bottom>
      <diagonal/>
    </border>
    <border>
      <left style="thin">
        <color rgb="FF000000"/>
      </left>
      <right/>
      <top style="thin">
        <color auto="1"/>
      </top>
      <bottom style="thin">
        <color rgb="FF000000"/>
      </bottom>
      <diagonal/>
    </border>
    <border>
      <left style="thin">
        <color auto="1"/>
      </left>
      <right style="medium">
        <color rgb="FF000000"/>
      </right>
      <top style="thin">
        <color auto="1"/>
      </top>
      <bottom style="thin">
        <color rgb="FF000000"/>
      </bottom>
      <diagonal/>
    </border>
    <border>
      <left/>
      <right style="medium">
        <color rgb="FF000000"/>
      </right>
      <top style="thin">
        <color auto="1"/>
      </top>
      <bottom style="thin">
        <color rgb="FF000000"/>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right/>
      <top style="medium">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ashed">
        <color rgb="FF000000"/>
      </left>
      <right/>
      <top style="dashed">
        <color rgb="FF000000"/>
      </top>
      <bottom/>
      <diagonal/>
    </border>
    <border>
      <left/>
      <right style="thin">
        <color auto="1"/>
      </right>
      <top style="dashed">
        <color rgb="FF000000"/>
      </top>
      <bottom/>
      <diagonal/>
    </border>
    <border>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right/>
      <top/>
      <bottom style="dashed">
        <color rgb="FF000000"/>
      </bottom>
      <diagonal/>
    </border>
    <border>
      <left/>
      <right style="medium">
        <color rgb="FF000000"/>
      </right>
      <top style="dashed">
        <color rgb="FF000000"/>
      </top>
      <bottom/>
      <diagonal/>
    </border>
    <border>
      <left/>
      <right style="medium">
        <color rgb="FF000000"/>
      </right>
      <top style="medium">
        <color auto="1"/>
      </top>
      <bottom style="medium">
        <color auto="1"/>
      </bottom>
      <diagonal/>
    </border>
    <border>
      <left/>
      <right style="medium">
        <color rgb="FF000000"/>
      </right>
      <top/>
      <bottom style="dashed">
        <color rgb="FF000000"/>
      </bottom>
      <diagonal/>
    </border>
    <border>
      <left/>
      <right style="medium">
        <color rgb="FF000000"/>
      </right>
      <top/>
      <bottom style="medium">
        <color auto="1"/>
      </bottom>
      <diagonal/>
    </border>
    <border>
      <left style="medium">
        <color auto="1"/>
      </left>
      <right style="thin">
        <color auto="1"/>
      </right>
      <top style="medium">
        <color rgb="FF000000"/>
      </top>
      <bottom style="medium">
        <color rgb="FF000000"/>
      </bottom>
      <diagonal/>
    </border>
    <border>
      <left/>
      <right style="medium">
        <color rgb="FF000000"/>
      </right>
      <top style="thin">
        <color auto="1"/>
      </top>
      <bottom style="thin">
        <color auto="1"/>
      </bottom>
      <diagonal/>
    </border>
    <border>
      <left/>
      <right style="medium">
        <color rgb="FF000000"/>
      </right>
      <top style="thin">
        <color auto="1"/>
      </top>
      <bottom/>
      <diagonal/>
    </border>
    <border>
      <left style="thin">
        <color indexed="64"/>
      </left>
      <right/>
      <top/>
      <bottom style="thin">
        <color rgb="FFCEB5DD"/>
      </bottom>
      <diagonal/>
    </border>
    <border>
      <left style="thin">
        <color rgb="FF000000"/>
      </left>
      <right style="thin">
        <color auto="1"/>
      </right>
      <top/>
      <bottom/>
      <diagonal/>
    </border>
    <border>
      <left style="thin">
        <color indexed="64"/>
      </left>
      <right style="thin">
        <color indexed="64"/>
      </right>
      <top style="thin">
        <color rgb="FFCEB5DD"/>
      </top>
      <bottom style="thin">
        <color rgb="FFCEB5DD"/>
      </bottom>
      <diagonal/>
    </border>
    <border>
      <left style="thin">
        <color indexed="64"/>
      </left>
      <right style="thin">
        <color indexed="64"/>
      </right>
      <top/>
      <bottom style="thin">
        <color rgb="FFCEB5DD"/>
      </bottom>
      <diagonal/>
    </border>
    <border>
      <left style="thin">
        <color rgb="FF000000"/>
      </left>
      <right style="medium">
        <color rgb="FF000000"/>
      </right>
      <top/>
      <bottom/>
      <diagonal/>
    </border>
    <border>
      <left style="thin">
        <color rgb="FF000000"/>
      </left>
      <right style="medium">
        <color rgb="FF000000"/>
      </right>
      <top style="thin">
        <color auto="1"/>
      </top>
      <bottom style="thin">
        <color auto="1"/>
      </bottom>
      <diagonal/>
    </border>
    <border>
      <left style="thin">
        <color rgb="FF000000"/>
      </left>
      <right style="medium">
        <color rgb="FF000000"/>
      </right>
      <top style="thin">
        <color auto="1"/>
      </top>
      <bottom/>
      <diagonal/>
    </border>
    <border>
      <left/>
      <right style="thin">
        <color auto="1"/>
      </right>
      <top/>
      <bottom style="thin">
        <color rgb="FF000000"/>
      </bottom>
      <diagonal/>
    </border>
    <border>
      <left style="dashed">
        <color rgb="FF000000"/>
      </left>
      <right style="thin">
        <color rgb="FF000000"/>
      </right>
      <top style="dashed">
        <color rgb="FF000000"/>
      </top>
      <bottom/>
      <diagonal/>
    </border>
    <border>
      <left style="dashed">
        <color rgb="FF000000"/>
      </left>
      <right style="thin">
        <color rgb="FF000000"/>
      </right>
      <top/>
      <bottom/>
      <diagonal/>
    </border>
    <border>
      <left style="dashed">
        <color rgb="FF000000"/>
      </left>
      <right style="thin">
        <color rgb="FF000000"/>
      </right>
      <top/>
      <bottom style="dashed">
        <color rgb="FF000000"/>
      </bottom>
      <diagonal/>
    </border>
    <border>
      <left style="thin">
        <color rgb="FF000000"/>
      </left>
      <right/>
      <top style="dashed">
        <color rgb="FF000000"/>
      </top>
      <bottom/>
      <diagonal/>
    </border>
    <border>
      <left style="thin">
        <color rgb="FF000000"/>
      </left>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auto="1"/>
      </top>
      <bottom/>
      <diagonal/>
    </border>
    <border>
      <left style="medium">
        <color rgb="FF000000"/>
      </left>
      <right/>
      <top style="thin">
        <color auto="1"/>
      </top>
      <bottom style="thin">
        <color auto="1"/>
      </bottom>
      <diagonal/>
    </border>
    <border>
      <left/>
      <right style="medium">
        <color rgb="FF000000"/>
      </right>
      <top/>
      <bottom style="medium">
        <color rgb="FF000000"/>
      </bottom>
      <diagonal/>
    </border>
    <border>
      <left style="thin">
        <color rgb="FF000000"/>
      </left>
      <right/>
      <top/>
      <bottom style="dashed">
        <color rgb="FF000000"/>
      </bottom>
      <diagonal/>
    </border>
    <border>
      <left/>
      <right/>
      <top style="dashed">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thin">
        <color rgb="FF000000"/>
      </top>
      <bottom style="thin">
        <color rgb="FF000000"/>
      </bottom>
      <diagonal/>
    </border>
    <border>
      <left style="thin">
        <color auto="1"/>
      </left>
      <right style="medium">
        <color rgb="FF000000"/>
      </right>
      <top/>
      <bottom/>
      <diagonal/>
    </border>
    <border>
      <left style="medium">
        <color auto="1"/>
      </left>
      <right style="medium">
        <color rgb="FF000000"/>
      </right>
      <top style="medium">
        <color auto="1"/>
      </top>
      <bottom style="medium">
        <color auto="1"/>
      </bottom>
      <diagonal/>
    </border>
    <border>
      <left/>
      <right style="medium">
        <color rgb="FF000000"/>
      </right>
      <top/>
      <bottom style="thin">
        <color rgb="FF000000"/>
      </bottom>
      <diagonal/>
    </border>
    <border>
      <left style="medium">
        <color auto="1"/>
      </left>
      <right/>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ashed">
        <color rgb="FF000000"/>
      </left>
      <right/>
      <top/>
      <bottom style="medium">
        <color rgb="FF000000"/>
      </bottom>
      <diagonal/>
    </border>
    <border>
      <left/>
      <right style="medium">
        <color rgb="FF000000"/>
      </right>
      <top/>
      <bottom style="dotted">
        <color rgb="FF000000"/>
      </bottom>
      <diagonal/>
    </border>
    <border>
      <left/>
      <right/>
      <top/>
      <bottom style="dotted">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medium">
        <color auto="1"/>
      </left>
      <right style="medium">
        <color auto="1"/>
      </right>
      <top style="dashed">
        <color auto="1"/>
      </top>
      <bottom/>
      <diagonal/>
    </border>
    <border>
      <left style="medium">
        <color auto="1"/>
      </left>
      <right style="medium">
        <color auto="1"/>
      </right>
      <top/>
      <bottom/>
      <diagonal/>
    </border>
    <border>
      <left style="medium">
        <color auto="1"/>
      </left>
      <right style="medium">
        <color auto="1"/>
      </right>
      <top/>
      <bottom style="dashed">
        <color auto="1"/>
      </bottom>
      <diagonal/>
    </border>
    <border>
      <left style="thin">
        <color auto="1"/>
      </left>
      <right style="medium">
        <color auto="1"/>
      </right>
      <top style="dashed">
        <color auto="1"/>
      </top>
      <bottom/>
      <diagonal/>
    </border>
    <border>
      <left style="thin">
        <color auto="1"/>
      </left>
      <right style="medium">
        <color auto="1"/>
      </right>
      <top/>
      <bottom style="dashed">
        <color auto="1"/>
      </bottom>
      <diagonal/>
    </border>
    <border>
      <left style="dashed">
        <color rgb="FF000000"/>
      </left>
      <right style="thin">
        <color rgb="FF000000"/>
      </right>
      <top/>
      <bottom style="medium">
        <color rgb="FF000000"/>
      </bottom>
      <diagonal/>
    </border>
    <border>
      <left style="dashed">
        <color rgb="FF000000"/>
      </left>
      <right/>
      <top/>
      <bottom style="thin">
        <color auto="1"/>
      </bottom>
      <diagonal/>
    </border>
    <border>
      <left style="medium">
        <color rgb="FF000000"/>
      </left>
      <right style="medium">
        <color rgb="FF000000"/>
      </right>
      <top style="thin">
        <color auto="1"/>
      </top>
      <bottom/>
      <diagonal/>
    </border>
    <border>
      <left style="medium">
        <color rgb="FF000000"/>
      </left>
      <right style="medium">
        <color rgb="FF000000"/>
      </right>
      <top/>
      <bottom style="thin">
        <color auto="1"/>
      </bottom>
      <diagonal/>
    </border>
    <border>
      <left style="medium">
        <color rgb="FF000000"/>
      </left>
      <right style="medium">
        <color rgb="FF000000"/>
      </right>
      <top/>
      <bottom style="medium">
        <color auto="1"/>
      </bottom>
      <diagonal/>
    </border>
    <border>
      <left style="medium">
        <color rgb="FF000000"/>
      </left>
      <right style="medium">
        <color rgb="FF000000"/>
      </right>
      <top style="dashed">
        <color rgb="FF000000"/>
      </top>
      <bottom/>
      <diagonal/>
    </border>
    <border>
      <left style="medium">
        <color rgb="FF000000"/>
      </left>
      <right style="medium">
        <color rgb="FF000000"/>
      </right>
      <top/>
      <bottom style="dotted">
        <color rgb="FF000000"/>
      </bottom>
      <diagonal/>
    </border>
    <border>
      <left style="medium">
        <color rgb="FF000000"/>
      </left>
      <right style="medium">
        <color rgb="FF000000"/>
      </right>
      <top/>
      <bottom style="dashed">
        <color rgb="FF000000"/>
      </bottom>
      <diagonal/>
    </border>
    <border>
      <left style="medium">
        <color rgb="FF000000"/>
      </left>
      <right/>
      <top style="dashed">
        <color rgb="FF000000"/>
      </top>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4" fillId="0" borderId="0"/>
    <xf numFmtId="0" fontId="1" fillId="0" borderId="0"/>
    <xf numFmtId="164" fontId="1" fillId="0" borderId="0" applyFont="0" applyFill="0" applyBorder="0" applyAlignment="0" applyProtection="0"/>
    <xf numFmtId="0" fontId="28" fillId="0" borderId="0" applyNumberFormat="0" applyFill="0" applyBorder="0" applyAlignment="0" applyProtection="0"/>
    <xf numFmtId="0" fontId="39" fillId="0" borderId="0" applyNumberFormat="0" applyFill="0" applyBorder="0" applyAlignment="0" applyProtection="0"/>
    <xf numFmtId="43" fontId="1" fillId="0" borderId="0" applyFont="0" applyFill="0" applyBorder="0" applyAlignment="0" applyProtection="0"/>
  </cellStyleXfs>
  <cellXfs count="783">
    <xf numFmtId="0" fontId="0" fillId="0" borderId="0" xfId="0"/>
    <xf numFmtId="168" fontId="0" fillId="0" borderId="0" xfId="0" applyNumberFormat="1"/>
    <xf numFmtId="0" fontId="0" fillId="0" borderId="0" xfId="0" applyAlignment="1">
      <alignment vertical="top" wrapText="1"/>
    </xf>
    <xf numFmtId="0" fontId="5" fillId="0" borderId="0" xfId="0" applyFont="1" applyAlignment="1">
      <alignment vertical="center"/>
    </xf>
    <xf numFmtId="173" fontId="0" fillId="0" borderId="0" xfId="0" applyNumberFormat="1"/>
    <xf numFmtId="173" fontId="6" fillId="0" borderId="0" xfId="0" applyNumberFormat="1" applyFont="1"/>
    <xf numFmtId="173" fontId="3" fillId="0" borderId="0" xfId="0" applyNumberFormat="1" applyFont="1"/>
    <xf numFmtId="173" fontId="6" fillId="0" borderId="0" xfId="0" applyNumberFormat="1" applyFont="1" applyAlignment="1">
      <alignment horizontal="center"/>
    </xf>
    <xf numFmtId="173" fontId="10" fillId="0" borderId="0" xfId="0" applyNumberFormat="1" applyFont="1"/>
    <xf numFmtId="0" fontId="10" fillId="0" borderId="0" xfId="0" applyFont="1"/>
    <xf numFmtId="171" fontId="10" fillId="0" borderId="4" xfId="0" applyNumberFormat="1" applyFont="1" applyBorder="1"/>
    <xf numFmtId="171" fontId="10" fillId="0" borderId="11" xfId="0" applyNumberFormat="1" applyFont="1" applyBorder="1"/>
    <xf numFmtId="171" fontId="10" fillId="0" borderId="0" xfId="0" applyNumberFormat="1" applyFont="1"/>
    <xf numFmtId="171" fontId="11" fillId="0" borderId="13" xfId="0" applyNumberFormat="1" applyFont="1" applyBorder="1"/>
    <xf numFmtId="171" fontId="11" fillId="0" borderId="38" xfId="0" applyNumberFormat="1" applyFont="1" applyBorder="1"/>
    <xf numFmtId="171" fontId="10" fillId="0" borderId="12" xfId="3" applyNumberFormat="1" applyFont="1" applyBorder="1"/>
    <xf numFmtId="0" fontId="19" fillId="0" borderId="0" xfId="0" applyFont="1"/>
    <xf numFmtId="171" fontId="10" fillId="0" borderId="0" xfId="3" applyNumberFormat="1" applyFont="1"/>
    <xf numFmtId="171" fontId="10" fillId="0" borderId="3" xfId="0" applyNumberFormat="1" applyFont="1" applyBorder="1"/>
    <xf numFmtId="171" fontId="11" fillId="0" borderId="8" xfId="0" applyNumberFormat="1" applyFont="1" applyBorder="1"/>
    <xf numFmtId="171" fontId="10" fillId="0" borderId="17" xfId="0" applyNumberFormat="1" applyFont="1" applyBorder="1"/>
    <xf numFmtId="0" fontId="11" fillId="0" borderId="0" xfId="0" applyFont="1"/>
    <xf numFmtId="0" fontId="10" fillId="0" borderId="0" xfId="0" applyFont="1" applyAlignment="1">
      <alignment wrapText="1"/>
    </xf>
    <xf numFmtId="173" fontId="9" fillId="0" borderId="0" xfId="0" applyNumberFormat="1" applyFont="1"/>
    <xf numFmtId="0" fontId="0" fillId="0" borderId="0" xfId="0" applyAlignment="1">
      <alignment vertical="top"/>
    </xf>
    <xf numFmtId="173" fontId="7" fillId="0" borderId="0" xfId="0" applyNumberFormat="1" applyFont="1" applyAlignment="1">
      <alignment horizontal="center" vertical="center"/>
    </xf>
    <xf numFmtId="173" fontId="7" fillId="0" borderId="0" xfId="0" applyNumberFormat="1" applyFont="1" applyAlignment="1">
      <alignment vertical="center"/>
    </xf>
    <xf numFmtId="171" fontId="11" fillId="0" borderId="7" xfId="0" applyNumberFormat="1" applyFont="1" applyBorder="1"/>
    <xf numFmtId="171" fontId="11" fillId="0" borderId="6" xfId="0" applyNumberFormat="1" applyFont="1" applyBorder="1"/>
    <xf numFmtId="173" fontId="13" fillId="0" borderId="0" xfId="0" applyNumberFormat="1" applyFont="1" applyAlignment="1">
      <alignment vertical="center"/>
    </xf>
    <xf numFmtId="0" fontId="20" fillId="0" borderId="0" xfId="0" applyFont="1"/>
    <xf numFmtId="173" fontId="13" fillId="0" borderId="0" xfId="0" applyNumberFormat="1" applyFont="1" applyAlignment="1">
      <alignment vertical="center" wrapText="1"/>
    </xf>
    <xf numFmtId="0" fontId="18" fillId="0" borderId="0" xfId="0" applyFont="1" applyAlignment="1">
      <alignment vertical="center"/>
    </xf>
    <xf numFmtId="0" fontId="11" fillId="0" borderId="0" xfId="0" applyFont="1" applyAlignment="1">
      <alignment vertical="center"/>
    </xf>
    <xf numFmtId="0" fontId="18" fillId="0" borderId="0" xfId="0" applyFont="1" applyAlignment="1" applyProtection="1">
      <alignment vertical="center"/>
      <protection locked="0"/>
    </xf>
    <xf numFmtId="0" fontId="0" fillId="14" borderId="0" xfId="0" applyFill="1"/>
    <xf numFmtId="1" fontId="0" fillId="0" borderId="0" xfId="7" applyNumberFormat="1" applyFont="1"/>
    <xf numFmtId="4" fontId="0" fillId="0" borderId="0" xfId="0" applyNumberFormat="1"/>
    <xf numFmtId="0" fontId="0" fillId="7" borderId="0" xfId="0" applyFill="1"/>
    <xf numFmtId="0" fontId="21" fillId="0" borderId="0" xfId="0" applyFont="1"/>
    <xf numFmtId="1" fontId="0" fillId="0" borderId="0" xfId="0" applyNumberFormat="1"/>
    <xf numFmtId="2" fontId="0" fillId="0" borderId="0" xfId="0" applyNumberFormat="1"/>
    <xf numFmtId="0" fontId="0" fillId="17" borderId="0" xfId="0" applyFill="1"/>
    <xf numFmtId="171" fontId="10" fillId="0" borderId="24" xfId="0" applyNumberFormat="1" applyFont="1" applyBorder="1"/>
    <xf numFmtId="0" fontId="10" fillId="3" borderId="51" xfId="0" applyFont="1" applyFill="1" applyBorder="1"/>
    <xf numFmtId="171" fontId="10" fillId="15" borderId="0" xfId="3" applyNumberFormat="1" applyFont="1" applyFill="1"/>
    <xf numFmtId="169" fontId="12" fillId="0" borderId="52" xfId="4" applyNumberFormat="1" applyFont="1" applyBorder="1"/>
    <xf numFmtId="171" fontId="10" fillId="0" borderId="53" xfId="0" applyNumberFormat="1" applyFont="1" applyBorder="1"/>
    <xf numFmtId="171" fontId="10" fillId="0" borderId="30" xfId="0" applyNumberFormat="1" applyFont="1" applyBorder="1"/>
    <xf numFmtId="171" fontId="10" fillId="0" borderId="21" xfId="0" applyNumberFormat="1" applyFont="1" applyBorder="1"/>
    <xf numFmtId="171" fontId="11" fillId="0" borderId="31" xfId="0" applyNumberFormat="1" applyFont="1" applyBorder="1"/>
    <xf numFmtId="171" fontId="10" fillId="0" borderId="31" xfId="0" applyNumberFormat="1" applyFont="1" applyBorder="1"/>
    <xf numFmtId="171" fontId="10" fillId="0" borderId="15" xfId="0" applyNumberFormat="1" applyFont="1" applyBorder="1"/>
    <xf numFmtId="171" fontId="10" fillId="0" borderId="15" xfId="3" applyNumberFormat="1" applyFont="1" applyBorder="1"/>
    <xf numFmtId="166" fontId="22" fillId="4" borderId="25" xfId="0" applyNumberFormat="1" applyFont="1" applyFill="1" applyBorder="1"/>
    <xf numFmtId="171" fontId="11" fillId="0" borderId="29" xfId="0" applyNumberFormat="1" applyFont="1" applyBorder="1"/>
    <xf numFmtId="171" fontId="10" fillId="0" borderId="34" xfId="0" applyNumberFormat="1" applyFont="1" applyBorder="1"/>
    <xf numFmtId="171" fontId="10" fillId="0" borderId="28" xfId="0" applyNumberFormat="1" applyFont="1" applyBorder="1"/>
    <xf numFmtId="171" fontId="10" fillId="0" borderId="29" xfId="0" applyNumberFormat="1" applyFont="1" applyBorder="1"/>
    <xf numFmtId="171" fontId="10" fillId="0" borderId="35" xfId="0" applyNumberFormat="1" applyFont="1" applyBorder="1"/>
    <xf numFmtId="171" fontId="10" fillId="0" borderId="23" xfId="0" applyNumberFormat="1" applyFont="1" applyBorder="1"/>
    <xf numFmtId="0" fontId="22" fillId="10" borderId="60" xfId="0" applyFont="1" applyFill="1" applyBorder="1"/>
    <xf numFmtId="171" fontId="10" fillId="0" borderId="62" xfId="0" applyNumberFormat="1" applyFont="1" applyBorder="1"/>
    <xf numFmtId="171" fontId="10" fillId="0" borderId="63" xfId="0" applyNumberFormat="1" applyFont="1" applyBorder="1"/>
    <xf numFmtId="166" fontId="22" fillId="2" borderId="34" xfId="0" applyNumberFormat="1" applyFont="1" applyFill="1" applyBorder="1"/>
    <xf numFmtId="0" fontId="22" fillId="9" borderId="60" xfId="0" applyFont="1" applyFill="1" applyBorder="1"/>
    <xf numFmtId="166" fontId="22" fillId="4" borderId="61" xfId="0" applyNumberFormat="1" applyFont="1" applyFill="1" applyBorder="1"/>
    <xf numFmtId="171" fontId="10" fillId="0" borderId="62" xfId="3" applyNumberFormat="1" applyFont="1" applyBorder="1"/>
    <xf numFmtId="171" fontId="10" fillId="0" borderId="53" xfId="3" applyNumberFormat="1" applyFont="1" applyBorder="1"/>
    <xf numFmtId="171" fontId="10" fillId="0" borderId="25" xfId="0" applyNumberFormat="1" applyFont="1" applyBorder="1"/>
    <xf numFmtId="171" fontId="10" fillId="0" borderId="22" xfId="0" applyNumberFormat="1" applyFont="1" applyBorder="1"/>
    <xf numFmtId="171" fontId="10" fillId="0" borderId="64" xfId="0" applyNumberFormat="1" applyFont="1" applyBorder="1"/>
    <xf numFmtId="171" fontId="11" fillId="0" borderId="62" xfId="0" applyNumberFormat="1" applyFont="1" applyBorder="1"/>
    <xf numFmtId="171" fontId="11" fillId="0" borderId="28" xfId="0" applyNumberFormat="1" applyFont="1" applyBorder="1"/>
    <xf numFmtId="171" fontId="10" fillId="0" borderId="64" xfId="3" applyNumberFormat="1" applyFont="1" applyBorder="1"/>
    <xf numFmtId="173" fontId="16" fillId="0" borderId="59" xfId="4" applyNumberFormat="1" applyFont="1" applyBorder="1"/>
    <xf numFmtId="171" fontId="10" fillId="0" borderId="31" xfId="3" applyNumberFormat="1" applyFont="1" applyBorder="1"/>
    <xf numFmtId="0" fontId="22" fillId="11" borderId="34" xfId="0" applyFont="1" applyFill="1" applyBorder="1"/>
    <xf numFmtId="0" fontId="22" fillId="11" borderId="21" xfId="0" applyFont="1" applyFill="1" applyBorder="1"/>
    <xf numFmtId="0" fontId="22" fillId="8" borderId="34" xfId="0" applyFont="1" applyFill="1" applyBorder="1"/>
    <xf numFmtId="0" fontId="22" fillId="8" borderId="21" xfId="0" applyFont="1" applyFill="1" applyBorder="1"/>
    <xf numFmtId="171" fontId="10" fillId="0" borderId="37" xfId="0" applyNumberFormat="1" applyFont="1" applyBorder="1"/>
    <xf numFmtId="171" fontId="10" fillId="0" borderId="14" xfId="0" applyNumberFormat="1" applyFont="1" applyBorder="1"/>
    <xf numFmtId="171" fontId="11" fillId="0" borderId="43" xfId="0" applyNumberFormat="1" applyFont="1" applyBorder="1"/>
    <xf numFmtId="0" fontId="10" fillId="0" borderId="1" xfId="0" applyFont="1" applyBorder="1"/>
    <xf numFmtId="171" fontId="11" fillId="0" borderId="45" xfId="0" applyNumberFormat="1" applyFont="1" applyBorder="1"/>
    <xf numFmtId="171" fontId="11" fillId="0" borderId="41" xfId="0" applyNumberFormat="1" applyFont="1" applyBorder="1"/>
    <xf numFmtId="171" fontId="11" fillId="0" borderId="16" xfId="0" applyNumberFormat="1" applyFont="1" applyBorder="1"/>
    <xf numFmtId="171" fontId="11" fillId="0" borderId="44" xfId="0" applyNumberFormat="1" applyFont="1" applyBorder="1"/>
    <xf numFmtId="171" fontId="11" fillId="0" borderId="26" xfId="0" applyNumberFormat="1" applyFont="1" applyBorder="1"/>
    <xf numFmtId="171" fontId="11" fillId="0" borderId="65" xfId="0" applyNumberFormat="1" applyFont="1" applyBorder="1"/>
    <xf numFmtId="171" fontId="11" fillId="0" borderId="66" xfId="0" applyNumberFormat="1" applyFont="1" applyBorder="1"/>
    <xf numFmtId="171" fontId="11" fillId="0" borderId="46" xfId="0" applyNumberFormat="1" applyFont="1" applyBorder="1"/>
    <xf numFmtId="171" fontId="11" fillId="0" borderId="67" xfId="0" applyNumberFormat="1" applyFont="1" applyBorder="1"/>
    <xf numFmtId="171" fontId="10" fillId="12" borderId="28" xfId="0" applyNumberFormat="1" applyFont="1" applyFill="1" applyBorder="1"/>
    <xf numFmtId="171" fontId="11" fillId="0" borderId="5" xfId="0" applyNumberFormat="1" applyFont="1" applyBorder="1"/>
    <xf numFmtId="0" fontId="26" fillId="0" borderId="0" xfId="0" applyFont="1"/>
    <xf numFmtId="1" fontId="26" fillId="0" borderId="0" xfId="0" applyNumberFormat="1" applyFont="1"/>
    <xf numFmtId="171" fontId="10" fillId="5" borderId="0" xfId="0" applyNumberFormat="1" applyFont="1" applyFill="1"/>
    <xf numFmtId="171" fontId="17" fillId="5" borderId="62" xfId="5" applyNumberFormat="1" applyFont="1" applyFill="1" applyBorder="1"/>
    <xf numFmtId="171" fontId="10" fillId="5" borderId="34" xfId="0" applyNumberFormat="1" applyFont="1" applyFill="1" applyBorder="1"/>
    <xf numFmtId="171" fontId="17" fillId="5" borderId="29" xfId="5" applyNumberFormat="1" applyFont="1" applyFill="1" applyBorder="1"/>
    <xf numFmtId="171" fontId="10" fillId="5" borderId="28" xfId="0" applyNumberFormat="1" applyFont="1" applyFill="1" applyBorder="1"/>
    <xf numFmtId="171" fontId="10" fillId="5" borderId="62" xfId="0" applyNumberFormat="1" applyFont="1" applyFill="1" applyBorder="1"/>
    <xf numFmtId="171" fontId="10" fillId="5" borderId="25" xfId="0" applyNumberFormat="1" applyFont="1" applyFill="1" applyBorder="1"/>
    <xf numFmtId="171" fontId="10" fillId="5" borderId="40" xfId="0" applyNumberFormat="1" applyFont="1" applyFill="1" applyBorder="1"/>
    <xf numFmtId="171" fontId="17" fillId="5" borderId="58" xfId="5" applyNumberFormat="1" applyFont="1" applyFill="1" applyBorder="1"/>
    <xf numFmtId="171" fontId="10" fillId="5" borderId="36" xfId="0" applyNumberFormat="1" applyFont="1" applyFill="1" applyBorder="1"/>
    <xf numFmtId="171" fontId="10" fillId="5" borderId="23" xfId="0" applyNumberFormat="1" applyFont="1" applyFill="1" applyBorder="1"/>
    <xf numFmtId="171" fontId="10" fillId="5" borderId="33" xfId="0" applyNumberFormat="1" applyFont="1" applyFill="1" applyBorder="1"/>
    <xf numFmtId="171" fontId="10" fillId="5" borderId="58" xfId="0" applyNumberFormat="1" applyFont="1" applyFill="1" applyBorder="1"/>
    <xf numFmtId="171" fontId="10" fillId="5" borderId="20" xfId="0" applyNumberFormat="1" applyFont="1" applyFill="1" applyBorder="1"/>
    <xf numFmtId="171" fontId="10" fillId="5" borderId="42" xfId="0" applyNumberFormat="1" applyFont="1" applyFill="1" applyBorder="1"/>
    <xf numFmtId="171" fontId="11" fillId="5" borderId="7" xfId="0" applyNumberFormat="1" applyFont="1" applyFill="1" applyBorder="1"/>
    <xf numFmtId="171" fontId="11" fillId="5" borderId="53" xfId="0" applyNumberFormat="1" applyFont="1" applyFill="1" applyBorder="1"/>
    <xf numFmtId="171" fontId="11" fillId="5" borderId="35" xfId="0" applyNumberFormat="1" applyFont="1" applyFill="1" applyBorder="1"/>
    <xf numFmtId="171" fontId="11" fillId="5" borderId="39" xfId="0" applyNumberFormat="1" applyFont="1" applyFill="1" applyBorder="1"/>
    <xf numFmtId="171" fontId="11" fillId="5" borderId="0" xfId="0" applyNumberFormat="1" applyFont="1" applyFill="1"/>
    <xf numFmtId="171" fontId="11" fillId="5" borderId="43" xfId="0" applyNumberFormat="1" applyFont="1" applyFill="1" applyBorder="1"/>
    <xf numFmtId="171" fontId="11" fillId="5" borderId="45" xfId="0" applyNumberFormat="1" applyFont="1" applyFill="1" applyBorder="1"/>
    <xf numFmtId="171" fontId="11" fillId="5" borderId="41" xfId="0" applyNumberFormat="1" applyFont="1" applyFill="1" applyBorder="1"/>
    <xf numFmtId="171" fontId="11" fillId="0" borderId="68" xfId="0" applyNumberFormat="1" applyFont="1" applyBorder="1"/>
    <xf numFmtId="173" fontId="13" fillId="0" borderId="0" xfId="0" applyNumberFormat="1" applyFont="1" applyAlignment="1">
      <alignment horizontal="right"/>
    </xf>
    <xf numFmtId="1" fontId="10" fillId="0" borderId="0" xfId="0" applyNumberFormat="1" applyFont="1"/>
    <xf numFmtId="0" fontId="12" fillId="0" borderId="0" xfId="0" applyFont="1"/>
    <xf numFmtId="173" fontId="13" fillId="0" borderId="0" xfId="0" applyNumberFormat="1" applyFont="1"/>
    <xf numFmtId="173" fontId="31" fillId="0" borderId="0" xfId="0" applyNumberFormat="1" applyFont="1"/>
    <xf numFmtId="176" fontId="9" fillId="0" borderId="0" xfId="0" applyNumberFormat="1" applyFont="1"/>
    <xf numFmtId="168" fontId="29" fillId="0" borderId="0" xfId="0" applyNumberFormat="1" applyFont="1"/>
    <xf numFmtId="170" fontId="10" fillId="0" borderId="0" xfId="0" applyNumberFormat="1" applyFont="1"/>
    <xf numFmtId="176" fontId="13" fillId="0" borderId="69" xfId="0" applyNumberFormat="1" applyFont="1" applyBorder="1"/>
    <xf numFmtId="0" fontId="37" fillId="0" borderId="0" xfId="0" applyFont="1"/>
    <xf numFmtId="0" fontId="36" fillId="0" borderId="0" xfId="0" applyFont="1"/>
    <xf numFmtId="0" fontId="38" fillId="0" borderId="0" xfId="0" applyFont="1"/>
    <xf numFmtId="176" fontId="36" fillId="0" borderId="0" xfId="0" applyNumberFormat="1" applyFont="1"/>
    <xf numFmtId="3" fontId="0" fillId="0" borderId="0" xfId="0" applyNumberFormat="1"/>
    <xf numFmtId="175" fontId="10" fillId="0" borderId="0" xfId="0" applyNumberFormat="1" applyFont="1"/>
    <xf numFmtId="177" fontId="10" fillId="0" borderId="0" xfId="0" applyNumberFormat="1" applyFont="1"/>
    <xf numFmtId="175" fontId="33" fillId="20" borderId="0" xfId="0" applyNumberFormat="1" applyFont="1" applyFill="1"/>
    <xf numFmtId="0" fontId="41" fillId="0" borderId="0" xfId="0" applyFont="1"/>
    <xf numFmtId="176" fontId="13" fillId="0" borderId="70" xfId="0" applyNumberFormat="1" applyFont="1" applyBorder="1"/>
    <xf numFmtId="175" fontId="0" fillId="0" borderId="0" xfId="0" applyNumberFormat="1"/>
    <xf numFmtId="1" fontId="0" fillId="0" borderId="0" xfId="7" applyNumberFormat="1" applyFont="1" applyFill="1"/>
    <xf numFmtId="0" fontId="0" fillId="21" borderId="0" xfId="0" applyFill="1"/>
    <xf numFmtId="0" fontId="26" fillId="21" borderId="0" xfId="0" applyFont="1" applyFill="1"/>
    <xf numFmtId="173" fontId="9" fillId="19" borderId="77" xfId="0" applyNumberFormat="1" applyFont="1" applyFill="1" applyBorder="1"/>
    <xf numFmtId="1" fontId="9" fillId="19" borderId="77" xfId="0" applyNumberFormat="1" applyFont="1" applyFill="1" applyBorder="1"/>
    <xf numFmtId="173" fontId="9" fillId="19" borderId="4" xfId="0" applyNumberFormat="1" applyFont="1" applyFill="1" applyBorder="1"/>
    <xf numFmtId="173" fontId="9" fillId="19" borderId="0" xfId="0" applyNumberFormat="1" applyFont="1" applyFill="1"/>
    <xf numFmtId="1" fontId="9" fillId="19" borderId="0" xfId="0" applyNumberFormat="1" applyFont="1" applyFill="1"/>
    <xf numFmtId="173" fontId="8" fillId="19" borderId="77" xfId="0" applyNumberFormat="1" applyFont="1" applyFill="1" applyBorder="1" applyAlignment="1">
      <alignment horizontal="right" wrapText="1"/>
    </xf>
    <xf numFmtId="173" fontId="9" fillId="19" borderId="0" xfId="0" applyNumberFormat="1" applyFont="1" applyFill="1" applyAlignment="1">
      <alignment horizontal="right"/>
    </xf>
    <xf numFmtId="173" fontId="9" fillId="19" borderId="77" xfId="0" applyNumberFormat="1" applyFont="1" applyFill="1" applyBorder="1" applyAlignment="1">
      <alignment horizontal="right"/>
    </xf>
    <xf numFmtId="171" fontId="10" fillId="19" borderId="77" xfId="0" applyNumberFormat="1" applyFont="1" applyFill="1" applyBorder="1"/>
    <xf numFmtId="1" fontId="10" fillId="19" borderId="77" xfId="0" applyNumberFormat="1" applyFont="1" applyFill="1" applyBorder="1"/>
    <xf numFmtId="173" fontId="10" fillId="19" borderId="77" xfId="0" applyNumberFormat="1" applyFont="1" applyFill="1" applyBorder="1"/>
    <xf numFmtId="171" fontId="10" fillId="19" borderId="77" xfId="3" applyNumberFormat="1" applyFont="1" applyFill="1" applyBorder="1"/>
    <xf numFmtId="171" fontId="10" fillId="19" borderId="0" xfId="0" applyNumberFormat="1" applyFont="1" applyFill="1"/>
    <xf numFmtId="1" fontId="10" fillId="19" borderId="0" xfId="0" applyNumberFormat="1" applyFont="1" applyFill="1"/>
    <xf numFmtId="173" fontId="10" fillId="19" borderId="0" xfId="0" applyNumberFormat="1" applyFont="1" applyFill="1"/>
    <xf numFmtId="171" fontId="10" fillId="19" borderId="0" xfId="3" applyNumberFormat="1" applyFont="1" applyFill="1"/>
    <xf numFmtId="171" fontId="10" fillId="19" borderId="81" xfId="0" applyNumberFormat="1" applyFont="1" applyFill="1" applyBorder="1"/>
    <xf numFmtId="171" fontId="10" fillId="19" borderId="24" xfId="0" applyNumberFormat="1" applyFont="1" applyFill="1" applyBorder="1"/>
    <xf numFmtId="171" fontId="8" fillId="19" borderId="0" xfId="0" applyNumberFormat="1" applyFont="1" applyFill="1"/>
    <xf numFmtId="1" fontId="8" fillId="19" borderId="0" xfId="0" applyNumberFormat="1" applyFont="1" applyFill="1"/>
    <xf numFmtId="171" fontId="8" fillId="19" borderId="24" xfId="0" applyNumberFormat="1" applyFont="1" applyFill="1" applyBorder="1"/>
    <xf numFmtId="173" fontId="8" fillId="19" borderId="77" xfId="0" applyNumberFormat="1" applyFont="1" applyFill="1" applyBorder="1"/>
    <xf numFmtId="173" fontId="8" fillId="19" borderId="0" xfId="0" applyNumberFormat="1" applyFont="1" applyFill="1"/>
    <xf numFmtId="173" fontId="9" fillId="19" borderId="77" xfId="0" applyNumberFormat="1" applyFont="1" applyFill="1" applyBorder="1" applyAlignment="1">
      <alignment horizontal="right" vertical="center"/>
    </xf>
    <xf numFmtId="173" fontId="9" fillId="19" borderId="0" xfId="0" applyNumberFormat="1" applyFont="1" applyFill="1" applyAlignment="1">
      <alignment vertical="center"/>
    </xf>
    <xf numFmtId="173" fontId="9" fillId="19" borderId="81" xfId="0" applyNumberFormat="1" applyFont="1" applyFill="1" applyBorder="1" applyAlignment="1">
      <alignment horizontal="right"/>
    </xf>
    <xf numFmtId="173" fontId="9" fillId="19" borderId="24" xfId="0" applyNumberFormat="1" applyFont="1" applyFill="1" applyBorder="1" applyAlignment="1">
      <alignment horizontal="right"/>
    </xf>
    <xf numFmtId="173" fontId="34" fillId="19" borderId="81" xfId="0" applyNumberFormat="1" applyFont="1" applyFill="1" applyBorder="1" applyAlignment="1">
      <alignment horizontal="right" vertical="center"/>
    </xf>
    <xf numFmtId="173" fontId="34" fillId="19" borderId="24" xfId="0" applyNumberFormat="1" applyFont="1" applyFill="1" applyBorder="1" applyAlignment="1">
      <alignment horizontal="right" vertical="center"/>
    </xf>
    <xf numFmtId="173" fontId="9" fillId="19" borderId="81" xfId="0" applyNumberFormat="1" applyFont="1" applyFill="1" applyBorder="1"/>
    <xf numFmtId="173" fontId="9" fillId="19" borderId="24" xfId="0" applyNumberFormat="1" applyFont="1" applyFill="1" applyBorder="1"/>
    <xf numFmtId="173" fontId="34" fillId="19" borderId="24" xfId="0" applyNumberFormat="1" applyFont="1" applyFill="1" applyBorder="1"/>
    <xf numFmtId="173" fontId="44" fillId="18" borderId="31" xfId="0" applyNumberFormat="1" applyFont="1" applyFill="1" applyBorder="1" applyAlignment="1">
      <alignment horizontal="center" vertical="center"/>
    </xf>
    <xf numFmtId="173" fontId="46" fillId="0" borderId="0" xfId="0" applyNumberFormat="1" applyFont="1"/>
    <xf numFmtId="173" fontId="47" fillId="0" borderId="0" xfId="0" applyNumberFormat="1" applyFont="1"/>
    <xf numFmtId="1" fontId="47" fillId="0" borderId="0" xfId="0" applyNumberFormat="1" applyFont="1"/>
    <xf numFmtId="173" fontId="47" fillId="0" borderId="4" xfId="0" applyNumberFormat="1" applyFont="1" applyBorder="1"/>
    <xf numFmtId="173" fontId="44" fillId="0" borderId="11" xfId="0" applyNumberFormat="1" applyFont="1" applyBorder="1" applyAlignment="1">
      <alignment horizontal="right"/>
    </xf>
    <xf numFmtId="0" fontId="47" fillId="0" borderId="0" xfId="0" applyFont="1"/>
    <xf numFmtId="0" fontId="47" fillId="2" borderId="72" xfId="0" applyFont="1" applyFill="1" applyBorder="1"/>
    <xf numFmtId="171" fontId="9" fillId="19" borderId="0" xfId="0" applyNumberFormat="1" applyFont="1" applyFill="1"/>
    <xf numFmtId="0" fontId="35" fillId="2" borderId="72" xfId="0" applyFont="1" applyFill="1" applyBorder="1" applyAlignment="1">
      <alignment horizontal="center" vertical="center" wrapText="1"/>
    </xf>
    <xf numFmtId="173" fontId="9" fillId="19" borderId="24" xfId="3" applyNumberFormat="1" applyFont="1" applyFill="1" applyBorder="1"/>
    <xf numFmtId="173" fontId="10" fillId="19" borderId="0" xfId="3" applyNumberFormat="1" applyFont="1" applyFill="1"/>
    <xf numFmtId="173" fontId="10" fillId="19" borderId="81" xfId="0" applyNumberFormat="1" applyFont="1" applyFill="1" applyBorder="1"/>
    <xf numFmtId="173" fontId="10" fillId="19" borderId="77" xfId="3" applyNumberFormat="1" applyFont="1" applyFill="1" applyBorder="1"/>
    <xf numFmtId="173" fontId="10" fillId="19" borderId="24" xfId="0" applyNumberFormat="1" applyFont="1" applyFill="1" applyBorder="1"/>
    <xf numFmtId="174" fontId="8" fillId="19" borderId="0" xfId="0" applyNumberFormat="1" applyFont="1" applyFill="1"/>
    <xf numFmtId="174" fontId="8" fillId="19" borderId="0" xfId="1" applyNumberFormat="1" applyFont="1" applyFill="1" applyBorder="1"/>
    <xf numFmtId="174" fontId="9" fillId="19" borderId="24" xfId="0" applyNumberFormat="1" applyFont="1" applyFill="1" applyBorder="1"/>
    <xf numFmtId="173" fontId="8" fillId="19" borderId="81" xfId="0" applyNumberFormat="1" applyFont="1" applyFill="1" applyBorder="1"/>
    <xf numFmtId="173" fontId="8" fillId="19" borderId="81" xfId="0" applyNumberFormat="1" applyFont="1" applyFill="1" applyBorder="1" applyAlignment="1">
      <alignment horizontal="right"/>
    </xf>
    <xf numFmtId="173" fontId="8" fillId="19" borderId="24" xfId="0" applyNumberFormat="1" applyFont="1" applyFill="1" applyBorder="1" applyAlignment="1">
      <alignment horizontal="right"/>
    </xf>
    <xf numFmtId="173" fontId="8" fillId="19" borderId="77" xfId="0" applyNumberFormat="1" applyFont="1" applyFill="1" applyBorder="1" applyAlignment="1">
      <alignment horizontal="right"/>
    </xf>
    <xf numFmtId="173" fontId="8" fillId="19" borderId="0" xfId="0" applyNumberFormat="1" applyFont="1" applyFill="1" applyAlignment="1">
      <alignment horizontal="right"/>
    </xf>
    <xf numFmtId="173" fontId="49" fillId="18" borderId="72" xfId="0" applyNumberFormat="1" applyFont="1" applyFill="1" applyBorder="1"/>
    <xf numFmtId="172" fontId="8" fillId="19" borderId="76" xfId="0" applyNumberFormat="1" applyFont="1" applyFill="1" applyBorder="1"/>
    <xf numFmtId="172" fontId="8" fillId="19" borderId="4" xfId="0" applyNumberFormat="1" applyFont="1" applyFill="1" applyBorder="1"/>
    <xf numFmtId="0" fontId="53" fillId="0" borderId="0" xfId="0" applyFont="1"/>
    <xf numFmtId="0" fontId="54" fillId="0" borderId="0" xfId="0" applyFont="1"/>
    <xf numFmtId="0" fontId="50" fillId="0" borderId="0" xfId="0" applyFont="1"/>
    <xf numFmtId="173" fontId="10" fillId="19" borderId="24" xfId="0" applyNumberFormat="1" applyFont="1" applyFill="1" applyBorder="1" applyAlignment="1">
      <alignment horizontal="right"/>
    </xf>
    <xf numFmtId="173" fontId="11" fillId="19" borderId="24" xfId="0" applyNumberFormat="1" applyFont="1" applyFill="1" applyBorder="1" applyAlignment="1">
      <alignment horizontal="right"/>
    </xf>
    <xf numFmtId="172" fontId="55" fillId="18" borderId="72" xfId="0" applyNumberFormat="1" applyFont="1" applyFill="1" applyBorder="1"/>
    <xf numFmtId="176" fontId="9" fillId="19" borderId="0" xfId="0" applyNumberFormat="1" applyFont="1" applyFill="1"/>
    <xf numFmtId="0" fontId="44" fillId="0" borderId="0" xfId="0" applyFont="1"/>
    <xf numFmtId="0" fontId="45" fillId="0" borderId="18" xfId="0" applyFont="1" applyBorder="1"/>
    <xf numFmtId="176" fontId="45" fillId="19" borderId="10" xfId="0" applyNumberFormat="1" applyFont="1" applyFill="1" applyBorder="1"/>
    <xf numFmtId="1" fontId="45" fillId="19" borderId="10" xfId="0" applyNumberFormat="1" applyFont="1" applyFill="1" applyBorder="1"/>
    <xf numFmtId="176" fontId="45" fillId="19" borderId="71" xfId="0" applyNumberFormat="1" applyFont="1" applyFill="1" applyBorder="1"/>
    <xf numFmtId="173" fontId="34" fillId="0" borderId="0" xfId="0" applyNumberFormat="1" applyFont="1"/>
    <xf numFmtId="173" fontId="45" fillId="0" borderId="0" xfId="0" applyNumberFormat="1" applyFont="1" applyAlignment="1">
      <alignment horizontal="right"/>
    </xf>
    <xf numFmtId="173" fontId="60" fillId="0" borderId="4" xfId="0" applyNumberFormat="1" applyFont="1" applyBorder="1"/>
    <xf numFmtId="173" fontId="60" fillId="0" borderId="0" xfId="0" applyNumberFormat="1" applyFont="1"/>
    <xf numFmtId="173" fontId="59" fillId="22" borderId="89" xfId="0" applyNumberFormat="1" applyFont="1" applyFill="1" applyBorder="1" applyAlignment="1">
      <alignment horizontal="center" vertical="center" wrapText="1"/>
    </xf>
    <xf numFmtId="0" fontId="0" fillId="0" borderId="35" xfId="0" applyBorder="1"/>
    <xf numFmtId="0" fontId="61" fillId="31" borderId="23" xfId="0" applyFont="1" applyFill="1" applyBorder="1"/>
    <xf numFmtId="0" fontId="61" fillId="31" borderId="32" xfId="0" applyFont="1" applyFill="1" applyBorder="1"/>
    <xf numFmtId="0" fontId="62" fillId="30" borderId="23" xfId="0" applyFont="1" applyFill="1" applyBorder="1"/>
    <xf numFmtId="0" fontId="62" fillId="32" borderId="29" xfId="0" applyFont="1" applyFill="1" applyBorder="1"/>
    <xf numFmtId="0" fontId="62" fillId="32" borderId="23" xfId="0" applyFont="1" applyFill="1" applyBorder="1"/>
    <xf numFmtId="0" fontId="62" fillId="32" borderId="32" xfId="0" applyFont="1" applyFill="1" applyBorder="1"/>
    <xf numFmtId="0" fontId="62" fillId="29" borderId="29" xfId="0" applyFont="1" applyFill="1" applyBorder="1"/>
    <xf numFmtId="0" fontId="62" fillId="29" borderId="23" xfId="0" applyFont="1" applyFill="1" applyBorder="1"/>
    <xf numFmtId="0" fontId="62" fillId="29" borderId="32" xfId="0" applyFont="1" applyFill="1" applyBorder="1"/>
    <xf numFmtId="0" fontId="61" fillId="9" borderId="29" xfId="0" applyFont="1" applyFill="1" applyBorder="1"/>
    <xf numFmtId="0" fontId="61" fillId="9" borderId="23" xfId="0" applyFont="1" applyFill="1" applyBorder="1"/>
    <xf numFmtId="0" fontId="61" fillId="33" borderId="23" xfId="0" applyFont="1" applyFill="1" applyBorder="1"/>
    <xf numFmtId="0" fontId="62" fillId="34" borderId="23" xfId="0" applyFont="1" applyFill="1" applyBorder="1"/>
    <xf numFmtId="0" fontId="62" fillId="35" borderId="23" xfId="0" applyFont="1" applyFill="1" applyBorder="1"/>
    <xf numFmtId="0" fontId="62" fillId="36" borderId="23" xfId="0" applyFont="1" applyFill="1" applyBorder="1"/>
    <xf numFmtId="0" fontId="62" fillId="37" borderId="23" xfId="0" applyFont="1" applyFill="1" applyBorder="1"/>
    <xf numFmtId="0" fontId="62" fillId="15" borderId="32" xfId="0" applyFont="1" applyFill="1" applyBorder="1"/>
    <xf numFmtId="0" fontId="64" fillId="31" borderId="23" xfId="0" applyFont="1" applyFill="1" applyBorder="1"/>
    <xf numFmtId="0" fontId="64" fillId="31" borderId="32" xfId="0" applyFont="1" applyFill="1" applyBorder="1"/>
    <xf numFmtId="0" fontId="63" fillId="30" borderId="23" xfId="0" applyFont="1" applyFill="1" applyBorder="1"/>
    <xf numFmtId="0" fontId="63" fillId="32" borderId="29" xfId="0" applyFont="1" applyFill="1" applyBorder="1"/>
    <xf numFmtId="0" fontId="63" fillId="32" borderId="23" xfId="0" applyFont="1" applyFill="1" applyBorder="1"/>
    <xf numFmtId="0" fontId="63" fillId="32" borderId="32" xfId="0" applyFont="1" applyFill="1" applyBorder="1"/>
    <xf numFmtId="0" fontId="63" fillId="29" borderId="29" xfId="0" applyFont="1" applyFill="1" applyBorder="1"/>
    <xf numFmtId="0" fontId="63" fillId="29" borderId="23" xfId="0" applyFont="1" applyFill="1" applyBorder="1"/>
    <xf numFmtId="0" fontId="63" fillId="29" borderId="32" xfId="0" applyFont="1" applyFill="1" applyBorder="1"/>
    <xf numFmtId="0" fontId="64" fillId="9" borderId="29" xfId="0" applyFont="1" applyFill="1" applyBorder="1"/>
    <xf numFmtId="0" fontId="64" fillId="9" borderId="23" xfId="0" applyFont="1" applyFill="1" applyBorder="1"/>
    <xf numFmtId="0" fontId="64" fillId="33" borderId="23" xfId="0" applyFont="1" applyFill="1" applyBorder="1"/>
    <xf numFmtId="0" fontId="63" fillId="34" borderId="23" xfId="0" applyFont="1" applyFill="1" applyBorder="1"/>
    <xf numFmtId="0" fontId="63" fillId="35" borderId="23" xfId="0" applyFont="1" applyFill="1" applyBorder="1"/>
    <xf numFmtId="0" fontId="63" fillId="36" borderId="23" xfId="0" applyFont="1" applyFill="1" applyBorder="1"/>
    <xf numFmtId="0" fontId="63" fillId="37" borderId="23" xfId="0" applyFont="1" applyFill="1" applyBorder="1"/>
    <xf numFmtId="0" fontId="63" fillId="15" borderId="32" xfId="0" applyFont="1" applyFill="1" applyBorder="1"/>
    <xf numFmtId="0" fontId="10" fillId="0" borderId="0" xfId="0" applyFont="1" applyAlignment="1">
      <alignment horizontal="left"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vertical="center"/>
    </xf>
    <xf numFmtId="0" fontId="67" fillId="26" borderId="2" xfId="0" applyFont="1" applyFill="1" applyBorder="1" applyAlignment="1">
      <alignment horizontal="left"/>
    </xf>
    <xf numFmtId="0" fontId="67" fillId="27" borderId="0" xfId="0" applyFont="1" applyFill="1" applyAlignment="1">
      <alignment horizontal="left"/>
    </xf>
    <xf numFmtId="0" fontId="68" fillId="28" borderId="0" xfId="0" applyFont="1" applyFill="1" applyAlignment="1">
      <alignment horizontal="left"/>
    </xf>
    <xf numFmtId="0" fontId="68" fillId="28" borderId="22" xfId="0" applyFont="1" applyFill="1" applyBorder="1" applyAlignment="1">
      <alignment horizontal="left"/>
    </xf>
    <xf numFmtId="0" fontId="68" fillId="28" borderId="88" xfId="0" applyFont="1" applyFill="1" applyBorder="1" applyAlignment="1">
      <alignment horizontal="left"/>
    </xf>
    <xf numFmtId="0" fontId="68" fillId="29" borderId="0" xfId="0" applyFont="1" applyFill="1" applyAlignment="1">
      <alignment horizontal="left"/>
    </xf>
    <xf numFmtId="0" fontId="68" fillId="29" borderId="90" xfId="0" applyFont="1" applyFill="1" applyBorder="1" applyAlignment="1">
      <alignment horizontal="left"/>
    </xf>
    <xf numFmtId="0" fontId="68" fillId="28" borderId="90" xfId="0" applyFont="1" applyFill="1" applyBorder="1" applyAlignment="1">
      <alignment horizontal="left"/>
    </xf>
    <xf numFmtId="0" fontId="68" fillId="29" borderId="0" xfId="0" applyFont="1" applyFill="1"/>
    <xf numFmtId="0" fontId="21" fillId="38" borderId="0" xfId="0" applyFont="1" applyFill="1"/>
    <xf numFmtId="0" fontId="69" fillId="0" borderId="0" xfId="0" applyFont="1"/>
    <xf numFmtId="173" fontId="69" fillId="0" borderId="0" xfId="0" applyNumberFormat="1" applyFont="1"/>
    <xf numFmtId="173" fontId="69" fillId="0" borderId="0" xfId="0" applyNumberFormat="1" applyFont="1" applyAlignment="1">
      <alignment wrapText="1"/>
    </xf>
    <xf numFmtId="172" fontId="69" fillId="0" borderId="0" xfId="0" applyNumberFormat="1" applyFont="1"/>
    <xf numFmtId="172" fontId="69" fillId="0" borderId="0" xfId="0" applyNumberFormat="1" applyFont="1" applyAlignment="1">
      <alignment wrapText="1"/>
    </xf>
    <xf numFmtId="167" fontId="69" fillId="0" borderId="0" xfId="0" applyNumberFormat="1" applyFont="1" applyAlignment="1">
      <alignment horizontal="left"/>
    </xf>
    <xf numFmtId="171" fontId="69" fillId="0" borderId="0" xfId="0" applyNumberFormat="1" applyFont="1"/>
    <xf numFmtId="0" fontId="28" fillId="0" borderId="0" xfId="8" applyFill="1"/>
    <xf numFmtId="4" fontId="26" fillId="0" borderId="0" xfId="0" applyNumberFormat="1" applyFont="1"/>
    <xf numFmtId="0" fontId="43" fillId="0" borderId="0" xfId="0" applyFont="1"/>
    <xf numFmtId="14" fontId="36" fillId="0" borderId="0" xfId="0" applyNumberFormat="1" applyFont="1"/>
    <xf numFmtId="14" fontId="37" fillId="0" borderId="0" xfId="0" applyNumberFormat="1" applyFont="1"/>
    <xf numFmtId="11" fontId="36" fillId="0" borderId="0" xfId="0" applyNumberFormat="1" applyFont="1"/>
    <xf numFmtId="14" fontId="0" fillId="0" borderId="0" xfId="0" applyNumberFormat="1"/>
    <xf numFmtId="14" fontId="41" fillId="0" borderId="0" xfId="0" applyNumberFormat="1" applyFont="1"/>
    <xf numFmtId="11" fontId="0" fillId="0" borderId="0" xfId="0" applyNumberFormat="1"/>
    <xf numFmtId="0" fontId="42" fillId="0" borderId="0" xfId="0" applyFont="1"/>
    <xf numFmtId="0" fontId="70" fillId="39" borderId="0" xfId="0" applyFont="1" applyFill="1"/>
    <xf numFmtId="175" fontId="70" fillId="9" borderId="0" xfId="0" applyNumberFormat="1" applyFont="1" applyFill="1"/>
    <xf numFmtId="0" fontId="71" fillId="8" borderId="0" xfId="0" applyFont="1" applyFill="1"/>
    <xf numFmtId="0" fontId="71" fillId="13" borderId="0" xfId="0" applyFont="1" applyFill="1"/>
    <xf numFmtId="0" fontId="71" fillId="40" borderId="0" xfId="0" applyFont="1" applyFill="1"/>
    <xf numFmtId="0" fontId="70" fillId="9" borderId="0" xfId="0" applyFont="1" applyFill="1"/>
    <xf numFmtId="175" fontId="70" fillId="39" borderId="0" xfId="0" applyNumberFormat="1" applyFont="1" applyFill="1"/>
    <xf numFmtId="3" fontId="70" fillId="9" borderId="0" xfId="0" applyNumberFormat="1" applyFont="1" applyFill="1"/>
    <xf numFmtId="0" fontId="71" fillId="14" borderId="0" xfId="0" applyFont="1" applyFill="1"/>
    <xf numFmtId="1" fontId="70" fillId="31" borderId="0" xfId="0" applyNumberFormat="1" applyFont="1" applyFill="1"/>
    <xf numFmtId="0" fontId="70" fillId="10" borderId="0" xfId="0" applyFont="1" applyFill="1"/>
    <xf numFmtId="0" fontId="71" fillId="11" borderId="0" xfId="0" applyFont="1" applyFill="1"/>
    <xf numFmtId="0" fontId="71" fillId="22" borderId="0" xfId="0" applyFont="1" applyFill="1"/>
    <xf numFmtId="0" fontId="71" fillId="23" borderId="0" xfId="0" applyFont="1" applyFill="1"/>
    <xf numFmtId="0" fontId="70" fillId="31" borderId="0" xfId="0" applyFont="1" applyFill="1"/>
    <xf numFmtId="1" fontId="70" fillId="31" borderId="0" xfId="7" applyNumberFormat="1" applyFont="1" applyFill="1"/>
    <xf numFmtId="173" fontId="9" fillId="19" borderId="92" xfId="0" applyNumberFormat="1" applyFont="1" applyFill="1" applyBorder="1"/>
    <xf numFmtId="173" fontId="52" fillId="23" borderId="7" xfId="0" applyNumberFormat="1" applyFont="1" applyFill="1" applyBorder="1"/>
    <xf numFmtId="173" fontId="52" fillId="23" borderId="86" xfId="0" applyNumberFormat="1" applyFont="1" applyFill="1" applyBorder="1"/>
    <xf numFmtId="173" fontId="52" fillId="23" borderId="12" xfId="0" applyNumberFormat="1" applyFont="1" applyFill="1" applyBorder="1"/>
    <xf numFmtId="173" fontId="52" fillId="23" borderId="87" xfId="0" applyNumberFormat="1" applyFont="1" applyFill="1" applyBorder="1"/>
    <xf numFmtId="173" fontId="75" fillId="11" borderId="0" xfId="0" applyNumberFormat="1" applyFont="1" applyFill="1"/>
    <xf numFmtId="173" fontId="74" fillId="9" borderId="0" xfId="0" applyNumberFormat="1" applyFont="1" applyFill="1"/>
    <xf numFmtId="173" fontId="76" fillId="10" borderId="0" xfId="0" applyNumberFormat="1" applyFont="1" applyFill="1"/>
    <xf numFmtId="173" fontId="76" fillId="11" borderId="0" xfId="0" applyNumberFormat="1" applyFont="1" applyFill="1"/>
    <xf numFmtId="173" fontId="75" fillId="23" borderId="0" xfId="0" applyNumberFormat="1" applyFont="1" applyFill="1"/>
    <xf numFmtId="173" fontId="74" fillId="10" borderId="0" xfId="0" applyNumberFormat="1" applyFont="1" applyFill="1"/>
    <xf numFmtId="173" fontId="79" fillId="22" borderId="0" xfId="0" applyNumberFormat="1" applyFont="1" applyFill="1"/>
    <xf numFmtId="173" fontId="80" fillId="9" borderId="0" xfId="0" applyNumberFormat="1" applyFont="1" applyFill="1"/>
    <xf numFmtId="173" fontId="80" fillId="43" borderId="0" xfId="0" applyNumberFormat="1" applyFont="1" applyFill="1"/>
    <xf numFmtId="173" fontId="80" fillId="44" borderId="0" xfId="0" applyNumberFormat="1" applyFont="1" applyFill="1"/>
    <xf numFmtId="173" fontId="75" fillId="29" borderId="0" xfId="0" applyNumberFormat="1" applyFont="1" applyFill="1"/>
    <xf numFmtId="173" fontId="75" fillId="40" borderId="0" xfId="0" applyNumberFormat="1" applyFont="1" applyFill="1"/>
    <xf numFmtId="173" fontId="9" fillId="0" borderId="77" xfId="0" applyNumberFormat="1" applyFont="1" applyBorder="1"/>
    <xf numFmtId="173" fontId="13" fillId="23" borderId="0" xfId="0" applyNumberFormat="1" applyFont="1" applyFill="1"/>
    <xf numFmtId="1" fontId="13" fillId="23" borderId="0" xfId="0" applyNumberFormat="1" applyFont="1" applyFill="1"/>
    <xf numFmtId="173" fontId="13" fillId="23" borderId="0" xfId="0" applyNumberFormat="1" applyFont="1" applyFill="1" applyAlignment="1">
      <alignment horizontal="right"/>
    </xf>
    <xf numFmtId="173" fontId="13" fillId="23" borderId="24" xfId="0" applyNumberFormat="1" applyFont="1" applyFill="1" applyBorder="1" applyAlignment="1">
      <alignment horizontal="right"/>
    </xf>
    <xf numFmtId="173" fontId="13" fillId="23" borderId="24" xfId="0" applyNumberFormat="1" applyFont="1" applyFill="1" applyBorder="1"/>
    <xf numFmtId="173" fontId="13" fillId="23" borderId="80" xfId="0" applyNumberFormat="1" applyFont="1" applyFill="1" applyBorder="1"/>
    <xf numFmtId="1" fontId="13" fillId="23" borderId="80" xfId="0" applyNumberFormat="1" applyFont="1" applyFill="1" applyBorder="1"/>
    <xf numFmtId="173" fontId="13" fillId="23" borderId="83" xfId="0" applyNumberFormat="1" applyFont="1" applyFill="1" applyBorder="1"/>
    <xf numFmtId="173" fontId="13" fillId="23" borderId="27" xfId="0" applyNumberFormat="1" applyFont="1" applyFill="1" applyBorder="1"/>
    <xf numFmtId="1" fontId="13" fillId="23" borderId="27" xfId="0" applyNumberFormat="1" applyFont="1" applyFill="1" applyBorder="1"/>
    <xf numFmtId="173" fontId="13" fillId="23" borderId="84" xfId="0" applyNumberFormat="1" applyFont="1" applyFill="1" applyBorder="1"/>
    <xf numFmtId="173" fontId="7" fillId="23" borderId="0" xfId="0" applyNumberFormat="1" applyFont="1" applyFill="1" applyAlignment="1">
      <alignment horizontal="right"/>
    </xf>
    <xf numFmtId="173" fontId="13" fillId="23" borderId="80" xfId="0" applyNumberFormat="1" applyFont="1" applyFill="1" applyBorder="1" applyAlignment="1">
      <alignment horizontal="right"/>
    </xf>
    <xf numFmtId="0" fontId="9" fillId="0" borderId="33" xfId="0" applyFont="1" applyBorder="1"/>
    <xf numFmtId="0" fontId="9" fillId="17" borderId="33" xfId="0" applyFont="1" applyFill="1" applyBorder="1"/>
    <xf numFmtId="0" fontId="31" fillId="17" borderId="33" xfId="0" applyFont="1" applyFill="1" applyBorder="1"/>
    <xf numFmtId="173" fontId="13" fillId="23" borderId="0" xfId="0" applyNumberFormat="1" applyFont="1" applyFill="1" applyAlignment="1">
      <alignment vertical="center"/>
    </xf>
    <xf numFmtId="173" fontId="13" fillId="23" borderId="24" xfId="0" applyNumberFormat="1" applyFont="1" applyFill="1" applyBorder="1" applyAlignment="1">
      <alignment vertical="center"/>
    </xf>
    <xf numFmtId="173" fontId="13" fillId="23" borderId="83" xfId="0" applyNumberFormat="1" applyFont="1" applyFill="1" applyBorder="1" applyAlignment="1">
      <alignment horizontal="right"/>
    </xf>
    <xf numFmtId="171" fontId="11" fillId="23" borderId="0" xfId="0" applyNumberFormat="1" applyFont="1" applyFill="1"/>
    <xf numFmtId="173" fontId="12" fillId="23" borderId="0" xfId="0" applyNumberFormat="1" applyFont="1" applyFill="1" applyAlignment="1">
      <alignment horizontal="right"/>
    </xf>
    <xf numFmtId="171" fontId="11" fillId="23" borderId="24" xfId="0" applyNumberFormat="1" applyFont="1" applyFill="1" applyBorder="1"/>
    <xf numFmtId="173" fontId="11" fillId="23" borderId="0" xfId="0" applyNumberFormat="1" applyFont="1" applyFill="1"/>
    <xf numFmtId="1" fontId="11" fillId="23" borderId="0" xfId="0" applyNumberFormat="1" applyFont="1" applyFill="1"/>
    <xf numFmtId="173" fontId="11" fillId="23" borderId="24" xfId="0" applyNumberFormat="1" applyFont="1" applyFill="1" applyBorder="1"/>
    <xf numFmtId="173" fontId="11" fillId="23" borderId="80" xfId="0" applyNumberFormat="1" applyFont="1" applyFill="1" applyBorder="1"/>
    <xf numFmtId="1" fontId="11" fillId="23" borderId="80" xfId="0" applyNumberFormat="1" applyFont="1" applyFill="1" applyBorder="1"/>
    <xf numFmtId="173" fontId="11" fillId="23" borderId="83" xfId="0" applyNumberFormat="1" applyFont="1" applyFill="1" applyBorder="1"/>
    <xf numFmtId="167" fontId="31" fillId="45" borderId="95" xfId="0" applyNumberFormat="1" applyFont="1" applyFill="1" applyBorder="1"/>
    <xf numFmtId="167" fontId="9" fillId="38" borderId="95" xfId="0" applyNumberFormat="1" applyFont="1" applyFill="1" applyBorder="1"/>
    <xf numFmtId="167" fontId="31" fillId="47" borderId="95" xfId="0" applyNumberFormat="1" applyFont="1" applyFill="1" applyBorder="1"/>
    <xf numFmtId="167" fontId="9" fillId="46" borderId="95" xfId="0" applyNumberFormat="1" applyFont="1" applyFill="1" applyBorder="1"/>
    <xf numFmtId="167" fontId="31" fillId="31" borderId="95" xfId="0" applyNumberFormat="1" applyFont="1" applyFill="1" applyBorder="1"/>
    <xf numFmtId="0" fontId="71" fillId="0" borderId="0" xfId="0" applyFont="1" applyAlignment="1">
      <alignment vertical="top" wrapText="1"/>
    </xf>
    <xf numFmtId="0" fontId="71" fillId="5" borderId="0" xfId="0" applyFont="1" applyFill="1" applyAlignment="1">
      <alignment vertical="top" wrapText="1"/>
    </xf>
    <xf numFmtId="0" fontId="71" fillId="6" borderId="0" xfId="0" applyFont="1" applyFill="1" applyAlignment="1">
      <alignment vertical="top" wrapText="1"/>
    </xf>
    <xf numFmtId="0" fontId="71" fillId="0" borderId="0" xfId="0" applyFont="1"/>
    <xf numFmtId="0" fontId="71" fillId="8" borderId="0" xfId="0" applyFont="1" applyFill="1" applyAlignment="1">
      <alignment vertical="top" wrapText="1"/>
    </xf>
    <xf numFmtId="0" fontId="10" fillId="17" borderId="0" xfId="0" applyFont="1" applyFill="1"/>
    <xf numFmtId="1" fontId="13" fillId="23" borderId="80" xfId="0" applyNumberFormat="1" applyFont="1" applyFill="1" applyBorder="1" applyAlignment="1">
      <alignment horizontal="right"/>
    </xf>
    <xf numFmtId="171" fontId="11" fillId="23" borderId="80" xfId="0" applyNumberFormat="1" applyFont="1" applyFill="1" applyBorder="1"/>
    <xf numFmtId="173" fontId="10" fillId="0" borderId="0" xfId="0" applyNumberFormat="1" applyFont="1" applyAlignment="1">
      <alignment horizontal="right"/>
    </xf>
    <xf numFmtId="173" fontId="14" fillId="0" borderId="0" xfId="0" applyNumberFormat="1" applyFont="1"/>
    <xf numFmtId="173" fontId="9" fillId="0" borderId="0" xfId="0" applyNumberFormat="1" applyFont="1" applyAlignment="1">
      <alignment horizontal="right"/>
    </xf>
    <xf numFmtId="173" fontId="11" fillId="0" borderId="0" xfId="0" applyNumberFormat="1" applyFont="1"/>
    <xf numFmtId="173" fontId="11" fillId="0" borderId="0" xfId="0" applyNumberFormat="1" applyFont="1" applyAlignment="1">
      <alignment horizontal="right"/>
    </xf>
    <xf numFmtId="1" fontId="11" fillId="0" borderId="0" xfId="0" applyNumberFormat="1" applyFont="1"/>
    <xf numFmtId="173" fontId="7" fillId="23" borderId="33" xfId="0" applyNumberFormat="1" applyFont="1" applyFill="1" applyBorder="1" applyAlignment="1">
      <alignment horizontal="right"/>
    </xf>
    <xf numFmtId="173" fontId="3" fillId="0" borderId="23" xfId="0" applyNumberFormat="1" applyFont="1" applyBorder="1"/>
    <xf numFmtId="172" fontId="7" fillId="23" borderId="4" xfId="0" applyNumberFormat="1" applyFont="1" applyFill="1" applyBorder="1"/>
    <xf numFmtId="172" fontId="7" fillId="23" borderId="4" xfId="0" applyNumberFormat="1" applyFont="1" applyFill="1" applyBorder="1" applyAlignment="1">
      <alignment wrapText="1"/>
    </xf>
    <xf numFmtId="167" fontId="9" fillId="48" borderId="95" xfId="0" applyNumberFormat="1" applyFont="1" applyFill="1" applyBorder="1"/>
    <xf numFmtId="173" fontId="12" fillId="23" borderId="80" xfId="0" applyNumberFormat="1" applyFont="1" applyFill="1" applyBorder="1"/>
    <xf numFmtId="173" fontId="12" fillId="23" borderId="80" xfId="0" applyNumberFormat="1" applyFont="1" applyFill="1" applyBorder="1" applyAlignment="1">
      <alignment horizontal="right"/>
    </xf>
    <xf numFmtId="176" fontId="9" fillId="19" borderId="24" xfId="0" applyNumberFormat="1" applyFont="1" applyFill="1" applyBorder="1"/>
    <xf numFmtId="176" fontId="45" fillId="19" borderId="82" xfId="0" applyNumberFormat="1" applyFont="1" applyFill="1" applyBorder="1"/>
    <xf numFmtId="173" fontId="7" fillId="23" borderId="24" xfId="0" applyNumberFormat="1" applyFont="1" applyFill="1" applyBorder="1" applyAlignment="1">
      <alignment wrapText="1"/>
    </xf>
    <xf numFmtId="176" fontId="10" fillId="0" borderId="0" xfId="0" applyNumberFormat="1" applyFont="1"/>
    <xf numFmtId="173" fontId="75" fillId="29" borderId="24" xfId="0" applyNumberFormat="1" applyFont="1" applyFill="1" applyBorder="1"/>
    <xf numFmtId="173" fontId="73" fillId="19" borderId="0" xfId="0" applyNumberFormat="1" applyFont="1" applyFill="1"/>
    <xf numFmtId="1" fontId="13" fillId="23" borderId="0" xfId="0" applyNumberFormat="1" applyFont="1" applyFill="1" applyAlignment="1">
      <alignment horizontal="right"/>
    </xf>
    <xf numFmtId="0" fontId="23" fillId="0" borderId="0" xfId="0" applyFont="1"/>
    <xf numFmtId="0" fontId="23" fillId="0" borderId="0" xfId="0" applyFont="1" applyAlignment="1">
      <alignment horizontal="right"/>
    </xf>
    <xf numFmtId="0" fontId="25" fillId="0" borderId="0" xfId="0" applyFont="1"/>
    <xf numFmtId="172" fontId="25" fillId="0" borderId="0" xfId="0" applyNumberFormat="1" applyFont="1" applyAlignment="1">
      <alignment horizontal="right"/>
    </xf>
    <xf numFmtId="172" fontId="25" fillId="0" borderId="0" xfId="0" applyNumberFormat="1" applyFont="1"/>
    <xf numFmtId="172" fontId="23" fillId="0" borderId="0" xfId="0" applyNumberFormat="1" applyFont="1"/>
    <xf numFmtId="0" fontId="68" fillId="28" borderId="11" xfId="0" applyFont="1" applyFill="1" applyBorder="1" applyAlignment="1">
      <alignment horizontal="left"/>
    </xf>
    <xf numFmtId="0" fontId="68" fillId="29" borderId="91" xfId="0" applyFont="1" applyFill="1" applyBorder="1" applyAlignment="1">
      <alignment horizontal="left"/>
    </xf>
    <xf numFmtId="0" fontId="81" fillId="23" borderId="0" xfId="0" applyFont="1" applyFill="1"/>
    <xf numFmtId="0" fontId="82" fillId="7" borderId="0" xfId="0" applyFont="1" applyFill="1"/>
    <xf numFmtId="176" fontId="13" fillId="0" borderId="82" xfId="0" applyNumberFormat="1" applyFont="1" applyBorder="1"/>
    <xf numFmtId="173" fontId="45" fillId="19" borderId="82" xfId="0" applyNumberFormat="1" applyFont="1" applyFill="1" applyBorder="1"/>
    <xf numFmtId="1" fontId="7" fillId="23" borderId="33" xfId="0" applyNumberFormat="1" applyFont="1" applyFill="1" applyBorder="1" applyAlignment="1">
      <alignment horizontal="right"/>
    </xf>
    <xf numFmtId="171" fontId="8" fillId="0" borderId="0" xfId="0" applyNumberFormat="1" applyFont="1"/>
    <xf numFmtId="173" fontId="8" fillId="19" borderId="24" xfId="0" applyNumberFormat="1" applyFont="1" applyFill="1" applyBorder="1"/>
    <xf numFmtId="167" fontId="8" fillId="3" borderId="95" xfId="3" applyNumberFormat="1" applyFont="1" applyFill="1" applyBorder="1"/>
    <xf numFmtId="167" fontId="8" fillId="23" borderId="95" xfId="0" applyNumberFormat="1" applyFont="1" applyFill="1" applyBorder="1"/>
    <xf numFmtId="167" fontId="9" fillId="29" borderId="95" xfId="0" applyNumberFormat="1" applyFont="1" applyFill="1" applyBorder="1"/>
    <xf numFmtId="173" fontId="52" fillId="23" borderId="93" xfId="0" applyNumberFormat="1" applyFont="1" applyFill="1" applyBorder="1"/>
    <xf numFmtId="173" fontId="52" fillId="23" borderId="94" xfId="0" applyNumberFormat="1" applyFont="1" applyFill="1" applyBorder="1"/>
    <xf numFmtId="173" fontId="52" fillId="23" borderId="102" xfId="0" applyNumberFormat="1" applyFont="1" applyFill="1" applyBorder="1"/>
    <xf numFmtId="173" fontId="9" fillId="19" borderId="53" xfId="0" applyNumberFormat="1" applyFont="1" applyFill="1" applyBorder="1"/>
    <xf numFmtId="173" fontId="52" fillId="23" borderId="103" xfId="0" applyNumberFormat="1" applyFont="1" applyFill="1" applyBorder="1"/>
    <xf numFmtId="173" fontId="45" fillId="22" borderId="73" xfId="0" applyNumberFormat="1" applyFont="1" applyFill="1" applyBorder="1"/>
    <xf numFmtId="173" fontId="45" fillId="22" borderId="72" xfId="0" applyNumberFormat="1" applyFont="1" applyFill="1" applyBorder="1"/>
    <xf numFmtId="173" fontId="45" fillId="22" borderId="101" xfId="0" applyNumberFormat="1" applyFont="1" applyFill="1" applyBorder="1"/>
    <xf numFmtId="173" fontId="45" fillId="22" borderId="74" xfId="0" applyNumberFormat="1" applyFont="1" applyFill="1" applyBorder="1"/>
    <xf numFmtId="173" fontId="45" fillId="22" borderId="10" xfId="0" applyNumberFormat="1" applyFont="1" applyFill="1" applyBorder="1" applyAlignment="1">
      <alignment horizontal="right"/>
    </xf>
    <xf numFmtId="173" fontId="45" fillId="22" borderId="82" xfId="0" applyNumberFormat="1" applyFont="1" applyFill="1" applyBorder="1" applyAlignment="1">
      <alignment horizontal="right"/>
    </xf>
    <xf numFmtId="1" fontId="45" fillId="22" borderId="10" xfId="0" applyNumberFormat="1" applyFont="1" applyFill="1" applyBorder="1" applyAlignment="1">
      <alignment horizontal="right"/>
    </xf>
    <xf numFmtId="173" fontId="49" fillId="22" borderId="73" xfId="0" applyNumberFormat="1" applyFont="1" applyFill="1" applyBorder="1" applyAlignment="1">
      <alignment horizontal="right"/>
    </xf>
    <xf numFmtId="1" fontId="49" fillId="22" borderId="73" xfId="0" applyNumberFormat="1" applyFont="1" applyFill="1" applyBorder="1" applyAlignment="1">
      <alignment horizontal="right"/>
    </xf>
    <xf numFmtId="173" fontId="49" fillId="22" borderId="74" xfId="0" applyNumberFormat="1" applyFont="1" applyFill="1" applyBorder="1" applyAlignment="1">
      <alignment horizontal="right"/>
    </xf>
    <xf numFmtId="173" fontId="7" fillId="23" borderId="83" xfId="0" applyNumberFormat="1" applyFont="1" applyFill="1" applyBorder="1"/>
    <xf numFmtId="172" fontId="49" fillId="22" borderId="85" xfId="0" applyNumberFormat="1" applyFont="1" applyFill="1" applyBorder="1"/>
    <xf numFmtId="1" fontId="12" fillId="23" borderId="80" xfId="0" applyNumberFormat="1" applyFont="1" applyFill="1" applyBorder="1"/>
    <xf numFmtId="171" fontId="11" fillId="23" borderId="83" xfId="0" applyNumberFormat="1" applyFont="1" applyFill="1" applyBorder="1"/>
    <xf numFmtId="171" fontId="10" fillId="23" borderId="83" xfId="0" applyNumberFormat="1" applyFont="1" applyFill="1" applyBorder="1"/>
    <xf numFmtId="173" fontId="48" fillId="22" borderId="73" xfId="0" applyNumberFormat="1" applyFont="1" applyFill="1" applyBorder="1"/>
    <xf numFmtId="1" fontId="48" fillId="22" borderId="73" xfId="0" applyNumberFormat="1" applyFont="1" applyFill="1" applyBorder="1"/>
    <xf numFmtId="171" fontId="8" fillId="17" borderId="0" xfId="0" applyNumberFormat="1" applyFont="1" applyFill="1"/>
    <xf numFmtId="171" fontId="9" fillId="17" borderId="0" xfId="0" applyNumberFormat="1" applyFont="1" applyFill="1"/>
    <xf numFmtId="171" fontId="13" fillId="22" borderId="74" xfId="0" applyNumberFormat="1" applyFont="1" applyFill="1" applyBorder="1"/>
    <xf numFmtId="171" fontId="7" fillId="22" borderId="73" xfId="0" applyNumberFormat="1" applyFont="1" applyFill="1" applyBorder="1"/>
    <xf numFmtId="1" fontId="7" fillId="22" borderId="73" xfId="0" applyNumberFormat="1" applyFont="1" applyFill="1" applyBorder="1"/>
    <xf numFmtId="171" fontId="13" fillId="22" borderId="73" xfId="0" applyNumberFormat="1" applyFont="1" applyFill="1" applyBorder="1"/>
    <xf numFmtId="171" fontId="7" fillId="22" borderId="74" xfId="0" applyNumberFormat="1" applyFont="1" applyFill="1" applyBorder="1"/>
    <xf numFmtId="171" fontId="49" fillId="22" borderId="73" xfId="0" applyNumberFormat="1" applyFont="1" applyFill="1" applyBorder="1"/>
    <xf numFmtId="1" fontId="49" fillId="22" borderId="73" xfId="0" applyNumberFormat="1" applyFont="1" applyFill="1" applyBorder="1"/>
    <xf numFmtId="171" fontId="45" fillId="22" borderId="73" xfId="0" applyNumberFormat="1" applyFont="1" applyFill="1" applyBorder="1"/>
    <xf numFmtId="171" fontId="45" fillId="22" borderId="74" xfId="0" applyNumberFormat="1" applyFont="1" applyFill="1" applyBorder="1"/>
    <xf numFmtId="173" fontId="9" fillId="17" borderId="0" xfId="0" applyNumberFormat="1" applyFont="1" applyFill="1"/>
    <xf numFmtId="173" fontId="50" fillId="22" borderId="73" xfId="0" applyNumberFormat="1" applyFont="1" applyFill="1" applyBorder="1"/>
    <xf numFmtId="173" fontId="50" fillId="22" borderId="74" xfId="0" applyNumberFormat="1" applyFont="1" applyFill="1" applyBorder="1"/>
    <xf numFmtId="0" fontId="50" fillId="22" borderId="74" xfId="0" applyFont="1" applyFill="1" applyBorder="1"/>
    <xf numFmtId="173" fontId="11" fillId="22" borderId="83" xfId="0" applyNumberFormat="1" applyFont="1" applyFill="1" applyBorder="1"/>
    <xf numFmtId="173" fontId="11" fillId="22" borderId="80" xfId="0" applyNumberFormat="1" applyFont="1" applyFill="1" applyBorder="1"/>
    <xf numFmtId="1" fontId="11" fillId="22" borderId="80" xfId="0" applyNumberFormat="1" applyFont="1" applyFill="1" applyBorder="1"/>
    <xf numFmtId="173" fontId="15" fillId="19" borderId="24" xfId="0" applyNumberFormat="1" applyFont="1" applyFill="1" applyBorder="1"/>
    <xf numFmtId="173" fontId="13" fillId="22" borderId="80" xfId="0" applyNumberFormat="1" applyFont="1" applyFill="1" applyBorder="1"/>
    <xf numFmtId="1" fontId="13" fillId="22" borderId="80" xfId="0" applyNumberFormat="1" applyFont="1" applyFill="1" applyBorder="1"/>
    <xf numFmtId="173" fontId="13" fillId="22" borderId="80" xfId="0" applyNumberFormat="1" applyFont="1" applyFill="1" applyBorder="1" applyAlignment="1">
      <alignment horizontal="right"/>
    </xf>
    <xf numFmtId="173" fontId="13" fillId="22" borderId="83" xfId="0" applyNumberFormat="1" applyFont="1" applyFill="1" applyBorder="1" applyAlignment="1">
      <alignment horizontal="right"/>
    </xf>
    <xf numFmtId="171" fontId="45" fillId="22" borderId="80" xfId="0" applyNumberFormat="1" applyFont="1" applyFill="1" applyBorder="1"/>
    <xf numFmtId="174" fontId="8" fillId="19" borderId="80" xfId="0" applyNumberFormat="1" applyFont="1" applyFill="1" applyBorder="1"/>
    <xf numFmtId="174" fontId="9" fillId="19" borderId="83" xfId="0" applyNumberFormat="1" applyFont="1" applyFill="1" applyBorder="1"/>
    <xf numFmtId="174" fontId="9" fillId="19" borderId="80" xfId="0" applyNumberFormat="1" applyFont="1" applyFill="1" applyBorder="1"/>
    <xf numFmtId="0" fontId="51" fillId="2" borderId="80" xfId="0" applyFont="1" applyFill="1" applyBorder="1" applyAlignment="1">
      <alignment vertical="center"/>
    </xf>
    <xf numFmtId="1" fontId="50" fillId="22" borderId="106" xfId="0" applyNumberFormat="1" applyFont="1" applyFill="1" applyBorder="1"/>
    <xf numFmtId="173" fontId="50" fillId="22" borderId="106" xfId="0" applyNumberFormat="1" applyFont="1" applyFill="1" applyBorder="1"/>
    <xf numFmtId="173" fontId="50" fillId="22" borderId="107" xfId="0" applyNumberFormat="1" applyFont="1" applyFill="1" applyBorder="1"/>
    <xf numFmtId="0" fontId="47" fillId="2" borderId="64" xfId="0" applyFont="1" applyFill="1" applyBorder="1"/>
    <xf numFmtId="173" fontId="11" fillId="2" borderId="64" xfId="0" applyNumberFormat="1" applyFont="1" applyFill="1" applyBorder="1" applyAlignment="1">
      <alignment horizontal="center" vertical="center" wrapText="1"/>
    </xf>
    <xf numFmtId="173" fontId="13" fillId="22" borderId="15" xfId="0" applyNumberFormat="1" applyFont="1" applyFill="1" applyBorder="1" applyAlignment="1">
      <alignment horizontal="right"/>
    </xf>
    <xf numFmtId="1" fontId="13" fillId="22" borderId="15" xfId="0" applyNumberFormat="1" applyFont="1" applyFill="1" applyBorder="1" applyAlignment="1">
      <alignment horizontal="right"/>
    </xf>
    <xf numFmtId="173" fontId="13" fillId="22" borderId="108" xfId="0" applyNumberFormat="1" applyFont="1" applyFill="1" applyBorder="1" applyAlignment="1">
      <alignment horizontal="right"/>
    </xf>
    <xf numFmtId="167" fontId="31" fillId="49" borderId="95" xfId="0" applyNumberFormat="1" applyFont="1" applyFill="1" applyBorder="1"/>
    <xf numFmtId="167" fontId="9" fillId="19" borderId="24" xfId="3" applyNumberFormat="1" applyFont="1" applyFill="1" applyBorder="1"/>
    <xf numFmtId="167" fontId="9" fillId="19" borderId="24" xfId="0" applyNumberFormat="1" applyFont="1" applyFill="1" applyBorder="1"/>
    <xf numFmtId="167" fontId="9" fillId="19" borderId="24" xfId="2" applyNumberFormat="1" applyFont="1" applyFill="1" applyBorder="1"/>
    <xf numFmtId="167" fontId="52" fillId="23" borderId="86" xfId="0" applyNumberFormat="1" applyFont="1" applyFill="1" applyBorder="1"/>
    <xf numFmtId="167" fontId="52" fillId="23" borderId="87" xfId="0" applyNumberFormat="1" applyFont="1" applyFill="1" applyBorder="1"/>
    <xf numFmtId="0" fontId="45" fillId="22" borderId="74" xfId="0" applyFont="1" applyFill="1" applyBorder="1"/>
    <xf numFmtId="167" fontId="60" fillId="23" borderId="109" xfId="3" applyNumberFormat="1" applyFont="1" applyFill="1" applyBorder="1"/>
    <xf numFmtId="173" fontId="60" fillId="0" borderId="24" xfId="0" applyNumberFormat="1" applyFont="1" applyBorder="1"/>
    <xf numFmtId="173" fontId="60" fillId="0" borderId="109" xfId="0" applyNumberFormat="1" applyFont="1" applyBorder="1"/>
    <xf numFmtId="173" fontId="60" fillId="23" borderId="24" xfId="0" applyNumberFormat="1" applyFont="1" applyFill="1" applyBorder="1"/>
    <xf numFmtId="173" fontId="77" fillId="23" borderId="24" xfId="0" applyNumberFormat="1" applyFont="1" applyFill="1" applyBorder="1"/>
    <xf numFmtId="173" fontId="77" fillId="23" borderId="83" xfId="0" applyNumberFormat="1" applyFont="1" applyFill="1" applyBorder="1"/>
    <xf numFmtId="173" fontId="77" fillId="23" borderId="84" xfId="0" applyNumberFormat="1" applyFont="1" applyFill="1" applyBorder="1"/>
    <xf numFmtId="173" fontId="7" fillId="23" borderId="24" xfId="0" applyNumberFormat="1" applyFont="1" applyFill="1" applyBorder="1"/>
    <xf numFmtId="173" fontId="49" fillId="22" borderId="74" xfId="0" applyNumberFormat="1" applyFont="1" applyFill="1" applyBorder="1"/>
    <xf numFmtId="173" fontId="45" fillId="22" borderId="110" xfId="0" applyNumberFormat="1" applyFont="1" applyFill="1" applyBorder="1"/>
    <xf numFmtId="173" fontId="7" fillId="23" borderId="111" xfId="0" applyNumberFormat="1" applyFont="1" applyFill="1" applyBorder="1"/>
    <xf numFmtId="173" fontId="7" fillId="23" borderId="111" xfId="0" applyNumberFormat="1" applyFont="1" applyFill="1" applyBorder="1" applyAlignment="1">
      <alignment horizontal="right"/>
    </xf>
    <xf numFmtId="173" fontId="45" fillId="22" borderId="84" xfId="0" applyNumberFormat="1" applyFont="1" applyFill="1" applyBorder="1" applyAlignment="1">
      <alignment horizontal="right"/>
    </xf>
    <xf numFmtId="173" fontId="34" fillId="23" borderId="83" xfId="0" applyNumberFormat="1" applyFont="1" applyFill="1" applyBorder="1"/>
    <xf numFmtId="173" fontId="34" fillId="23" borderId="104" xfId="0" applyNumberFormat="1" applyFont="1" applyFill="1" applyBorder="1"/>
    <xf numFmtId="171" fontId="10" fillId="19" borderId="81" xfId="3" applyNumberFormat="1" applyFont="1" applyFill="1" applyBorder="1"/>
    <xf numFmtId="171" fontId="10" fillId="19" borderId="24" xfId="3" applyNumberFormat="1" applyFont="1" applyFill="1" applyBorder="1"/>
    <xf numFmtId="169" fontId="48" fillId="22" borderId="74" xfId="4" applyNumberFormat="1" applyFont="1" applyFill="1" applyBorder="1"/>
    <xf numFmtId="173" fontId="48" fillId="22" borderId="74" xfId="0" applyNumberFormat="1" applyFont="1" applyFill="1" applyBorder="1"/>
    <xf numFmtId="0" fontId="9" fillId="19" borderId="24" xfId="0" applyFont="1" applyFill="1" applyBorder="1"/>
    <xf numFmtId="167" fontId="8" fillId="19" borderId="24" xfId="0" applyNumberFormat="1" applyFont="1" applyFill="1" applyBorder="1" applyAlignment="1">
      <alignment horizontal="left"/>
    </xf>
    <xf numFmtId="171" fontId="49" fillId="22" borderId="74" xfId="0" applyNumberFormat="1" applyFont="1" applyFill="1" applyBorder="1"/>
    <xf numFmtId="171" fontId="45" fillId="22" borderId="83" xfId="0" applyNumberFormat="1" applyFont="1" applyFill="1" applyBorder="1"/>
    <xf numFmtId="171" fontId="11" fillId="23" borderId="24" xfId="3" applyNumberFormat="1" applyFont="1" applyFill="1" applyBorder="1"/>
    <xf numFmtId="1" fontId="50" fillId="22" borderId="107" xfId="0" applyNumberFormat="1" applyFont="1" applyFill="1" applyBorder="1"/>
    <xf numFmtId="173" fontId="11" fillId="22" borderId="108" xfId="0" applyNumberFormat="1" applyFont="1" applyFill="1" applyBorder="1"/>
    <xf numFmtId="173" fontId="13" fillId="22" borderId="83" xfId="0" applyNumberFormat="1" applyFont="1" applyFill="1" applyBorder="1"/>
    <xf numFmtId="173" fontId="8" fillId="0" borderId="0" xfId="0" applyNumberFormat="1" applyFont="1"/>
    <xf numFmtId="173" fontId="52" fillId="23" borderId="15" xfId="0" applyNumberFormat="1" applyFont="1" applyFill="1" applyBorder="1"/>
    <xf numFmtId="173" fontId="52" fillId="23" borderId="28" xfId="0" applyNumberFormat="1" applyFont="1" applyFill="1" applyBorder="1"/>
    <xf numFmtId="167" fontId="31" fillId="43" borderId="95" xfId="0" applyNumberFormat="1" applyFont="1" applyFill="1" applyBorder="1"/>
    <xf numFmtId="167" fontId="8" fillId="50" borderId="95" xfId="0" applyNumberFormat="1" applyFont="1" applyFill="1" applyBorder="1"/>
    <xf numFmtId="173" fontId="10" fillId="0" borderId="24" xfId="0" applyNumberFormat="1" applyFont="1" applyBorder="1" applyAlignment="1">
      <alignment horizontal="right"/>
    </xf>
    <xf numFmtId="2" fontId="40" fillId="0" borderId="0" xfId="0" applyNumberFormat="1" applyFont="1"/>
    <xf numFmtId="0" fontId="28" fillId="0" borderId="0" xfId="8"/>
    <xf numFmtId="176" fontId="9" fillId="17" borderId="0" xfId="0" applyNumberFormat="1" applyFont="1" applyFill="1"/>
    <xf numFmtId="2" fontId="28" fillId="0" borderId="0" xfId="8" applyNumberFormat="1"/>
    <xf numFmtId="174" fontId="8" fillId="17" borderId="0" xfId="1" applyNumberFormat="1" applyFont="1" applyFill="1" applyBorder="1"/>
    <xf numFmtId="174" fontId="8" fillId="17" borderId="80" xfId="1" applyNumberFormat="1" applyFont="1" applyFill="1" applyBorder="1"/>
    <xf numFmtId="173" fontId="10" fillId="17" borderId="77" xfId="0" applyNumberFormat="1" applyFont="1" applyFill="1" applyBorder="1"/>
    <xf numFmtId="173" fontId="9" fillId="0" borderId="24" xfId="0" applyNumberFormat="1" applyFont="1" applyBorder="1"/>
    <xf numFmtId="173" fontId="12" fillId="23" borderId="83" xfId="0" applyNumberFormat="1" applyFont="1" applyFill="1" applyBorder="1" applyAlignment="1">
      <alignment horizontal="right"/>
    </xf>
    <xf numFmtId="0" fontId="84" fillId="0" borderId="0" xfId="0" applyFont="1"/>
    <xf numFmtId="169" fontId="0" fillId="0" borderId="0" xfId="0" applyNumberFormat="1"/>
    <xf numFmtId="169" fontId="36" fillId="0" borderId="0" xfId="0" applyNumberFormat="1" applyFont="1"/>
    <xf numFmtId="169" fontId="40" fillId="0" borderId="0" xfId="0" applyNumberFormat="1" applyFont="1"/>
    <xf numFmtId="175" fontId="12" fillId="0" borderId="0" xfId="0" applyNumberFormat="1" applyFont="1"/>
    <xf numFmtId="173" fontId="7" fillId="23" borderId="0" xfId="0" applyNumberFormat="1" applyFont="1" applyFill="1" applyAlignment="1">
      <alignment horizontal="right" wrapText="1"/>
    </xf>
    <xf numFmtId="173" fontId="44" fillId="18" borderId="112" xfId="0" applyNumberFormat="1" applyFont="1" applyFill="1" applyBorder="1"/>
    <xf numFmtId="173" fontId="45" fillId="22" borderId="113" xfId="0" applyNumberFormat="1" applyFont="1" applyFill="1" applyBorder="1"/>
    <xf numFmtId="173" fontId="45" fillId="22" borderId="52" xfId="0" applyNumberFormat="1" applyFont="1" applyFill="1" applyBorder="1" applyAlignment="1">
      <alignment horizontal="right"/>
    </xf>
    <xf numFmtId="173" fontId="45" fillId="22" borderId="104" xfId="0" applyNumberFormat="1" applyFont="1" applyFill="1" applyBorder="1" applyAlignment="1">
      <alignment horizontal="right"/>
    </xf>
    <xf numFmtId="12" fontId="50" fillId="22" borderId="73" xfId="0" applyNumberFormat="1" applyFont="1" applyFill="1" applyBorder="1"/>
    <xf numFmtId="173" fontId="14" fillId="19" borderId="24" xfId="0" applyNumberFormat="1" applyFont="1" applyFill="1" applyBorder="1"/>
    <xf numFmtId="173" fontId="14" fillId="19" borderId="14" xfId="0" applyNumberFormat="1" applyFont="1" applyFill="1" applyBorder="1"/>
    <xf numFmtId="173" fontId="13" fillId="17" borderId="0" xfId="0" applyNumberFormat="1" applyFont="1" applyFill="1" applyAlignment="1">
      <alignment horizontal="right"/>
    </xf>
    <xf numFmtId="173" fontId="0" fillId="17" borderId="0" xfId="0" applyNumberFormat="1" applyFill="1"/>
    <xf numFmtId="173" fontId="13" fillId="23" borderId="53" xfId="0" applyNumberFormat="1" applyFont="1" applyFill="1" applyBorder="1"/>
    <xf numFmtId="173" fontId="14" fillId="17" borderId="24" xfId="0" applyNumberFormat="1" applyFont="1" applyFill="1" applyBorder="1"/>
    <xf numFmtId="173" fontId="9" fillId="17" borderId="24" xfId="0" applyNumberFormat="1" applyFont="1" applyFill="1" applyBorder="1"/>
    <xf numFmtId="1" fontId="9" fillId="17" borderId="0" xfId="0" applyNumberFormat="1" applyFont="1" applyFill="1"/>
    <xf numFmtId="173" fontId="9" fillId="17" borderId="53" xfId="0" applyNumberFormat="1" applyFont="1" applyFill="1" applyBorder="1"/>
    <xf numFmtId="173" fontId="14" fillId="17" borderId="87" xfId="0" applyNumberFormat="1" applyFont="1" applyFill="1" applyBorder="1"/>
    <xf numFmtId="173" fontId="9" fillId="17" borderId="12" xfId="0" applyNumberFormat="1" applyFont="1" applyFill="1" applyBorder="1"/>
    <xf numFmtId="1" fontId="9" fillId="17" borderId="12" xfId="0" applyNumberFormat="1" applyFont="1" applyFill="1" applyBorder="1"/>
    <xf numFmtId="173" fontId="9" fillId="17" borderId="87" xfId="0" applyNumberFormat="1" applyFont="1" applyFill="1" applyBorder="1"/>
    <xf numFmtId="173" fontId="9" fillId="17" borderId="102" xfId="0" applyNumberFormat="1" applyFont="1" applyFill="1" applyBorder="1"/>
    <xf numFmtId="173" fontId="9" fillId="17" borderId="114" xfId="0" applyNumberFormat="1" applyFont="1" applyFill="1" applyBorder="1"/>
    <xf numFmtId="178" fontId="10" fillId="0" borderId="0" xfId="0" applyNumberFormat="1" applyFont="1"/>
    <xf numFmtId="173" fontId="7" fillId="23" borderId="83" xfId="0" applyNumberFormat="1" applyFont="1" applyFill="1" applyBorder="1" applyAlignment="1">
      <alignment horizontal="right"/>
    </xf>
    <xf numFmtId="173" fontId="7" fillId="23" borderId="116" xfId="0" applyNumberFormat="1" applyFont="1" applyFill="1" applyBorder="1"/>
    <xf numFmtId="173" fontId="13" fillId="23" borderId="117" xfId="0" applyNumberFormat="1" applyFont="1" applyFill="1" applyBorder="1"/>
    <xf numFmtId="1" fontId="13" fillId="23" borderId="117" xfId="0" applyNumberFormat="1" applyFont="1" applyFill="1" applyBorder="1"/>
    <xf numFmtId="178" fontId="13" fillId="23" borderId="80" xfId="0" applyNumberFormat="1" applyFont="1" applyFill="1" applyBorder="1"/>
    <xf numFmtId="173" fontId="13" fillId="23" borderId="124" xfId="0" applyNumberFormat="1" applyFont="1" applyFill="1" applyBorder="1"/>
    <xf numFmtId="173" fontId="13" fillId="23" borderId="125" xfId="0" applyNumberFormat="1" applyFont="1" applyFill="1" applyBorder="1"/>
    <xf numFmtId="173" fontId="13" fillId="23" borderId="126" xfId="0" applyNumberFormat="1" applyFont="1" applyFill="1" applyBorder="1"/>
    <xf numFmtId="173" fontId="13" fillId="23" borderId="129" xfId="0" applyNumberFormat="1" applyFont="1" applyFill="1" applyBorder="1"/>
    <xf numFmtId="1" fontId="13" fillId="23" borderId="125" xfId="0" applyNumberFormat="1" applyFont="1" applyFill="1" applyBorder="1"/>
    <xf numFmtId="173" fontId="13" fillId="23" borderId="126" xfId="0" applyNumberFormat="1" applyFont="1" applyFill="1" applyBorder="1" applyAlignment="1">
      <alignment horizontal="right"/>
    </xf>
    <xf numFmtId="173" fontId="13" fillId="23" borderId="131" xfId="0" applyNumberFormat="1" applyFont="1" applyFill="1" applyBorder="1"/>
    <xf numFmtId="173" fontId="9" fillId="17" borderId="26" xfId="0" applyNumberFormat="1" applyFont="1" applyFill="1" applyBorder="1" applyAlignment="1">
      <alignment wrapText="1"/>
    </xf>
    <xf numFmtId="173" fontId="9" fillId="17" borderId="120" xfId="0" applyNumberFormat="1" applyFont="1" applyFill="1" applyBorder="1" applyAlignment="1">
      <alignment wrapText="1"/>
    </xf>
    <xf numFmtId="173" fontId="13" fillId="23" borderId="120" xfId="0" applyNumberFormat="1" applyFont="1" applyFill="1" applyBorder="1" applyAlignment="1">
      <alignment wrapText="1"/>
    </xf>
    <xf numFmtId="173" fontId="13" fillId="23" borderId="124" xfId="0" applyNumberFormat="1" applyFont="1" applyFill="1" applyBorder="1" applyAlignment="1">
      <alignment horizontal="right"/>
    </xf>
    <xf numFmtId="173" fontId="13" fillId="23" borderId="125" xfId="0" applyNumberFormat="1" applyFont="1" applyFill="1" applyBorder="1" applyAlignment="1">
      <alignment horizontal="right"/>
    </xf>
    <xf numFmtId="173" fontId="13" fillId="23" borderId="129" xfId="0" applyNumberFormat="1" applyFont="1" applyFill="1" applyBorder="1" applyAlignment="1">
      <alignment horizontal="right"/>
    </xf>
    <xf numFmtId="173" fontId="9" fillId="17" borderId="14" xfId="0" applyNumberFormat="1" applyFont="1" applyFill="1" applyBorder="1"/>
    <xf numFmtId="173" fontId="9" fillId="17" borderId="130" xfId="0" applyNumberFormat="1" applyFont="1" applyFill="1" applyBorder="1"/>
    <xf numFmtId="173" fontId="9" fillId="17" borderId="3" xfId="0" applyNumberFormat="1" applyFont="1" applyFill="1" applyBorder="1"/>
    <xf numFmtId="173" fontId="9" fillId="17" borderId="1" xfId="0" applyNumberFormat="1" applyFont="1" applyFill="1" applyBorder="1"/>
    <xf numFmtId="173" fontId="9" fillId="17" borderId="3" xfId="0" applyNumberFormat="1" applyFont="1" applyFill="1" applyBorder="1" applyAlignment="1">
      <alignment horizontal="right"/>
    </xf>
    <xf numFmtId="173" fontId="9" fillId="17" borderId="121" xfId="0" applyNumberFormat="1" applyFont="1" applyFill="1" applyBorder="1" applyAlignment="1">
      <alignment horizontal="right"/>
    </xf>
    <xf numFmtId="1" fontId="9" fillId="17" borderId="122" xfId="0" applyNumberFormat="1" applyFont="1" applyFill="1" applyBorder="1"/>
    <xf numFmtId="173" fontId="9" fillId="17" borderId="122" xfId="0" applyNumberFormat="1" applyFont="1" applyFill="1" applyBorder="1"/>
    <xf numFmtId="173" fontId="9" fillId="17" borderId="123" xfId="0" applyNumberFormat="1" applyFont="1" applyFill="1" applyBorder="1" applyAlignment="1">
      <alignment horizontal="right"/>
    </xf>
    <xf numFmtId="173" fontId="9" fillId="17" borderId="122" xfId="0" applyNumberFormat="1" applyFont="1" applyFill="1" applyBorder="1" applyAlignment="1">
      <alignment horizontal="right"/>
    </xf>
    <xf numFmtId="173" fontId="9" fillId="17" borderId="1" xfId="0" applyNumberFormat="1" applyFont="1" applyFill="1" applyBorder="1" applyAlignment="1">
      <alignment horizontal="right"/>
    </xf>
    <xf numFmtId="173" fontId="9" fillId="17" borderId="0" xfId="0" applyNumberFormat="1" applyFont="1" applyFill="1" applyAlignment="1">
      <alignment horizontal="right"/>
    </xf>
    <xf numFmtId="173" fontId="9" fillId="17" borderId="121" xfId="0" applyNumberFormat="1" applyFont="1" applyFill="1" applyBorder="1" applyAlignment="1">
      <alignment horizontal="right" wrapText="1"/>
    </xf>
    <xf numFmtId="173" fontId="9" fillId="17" borderId="1" xfId="0" applyNumberFormat="1" applyFont="1" applyFill="1" applyBorder="1" applyAlignment="1">
      <alignment horizontal="right" wrapText="1"/>
    </xf>
    <xf numFmtId="171" fontId="11" fillId="23" borderId="80" xfId="3" applyNumberFormat="1" applyFont="1" applyFill="1" applyBorder="1"/>
    <xf numFmtId="173" fontId="34" fillId="23" borderId="24" xfId="0" applyNumberFormat="1" applyFont="1" applyFill="1" applyBorder="1"/>
    <xf numFmtId="173" fontId="8" fillId="19" borderId="0" xfId="0" applyNumberFormat="1" applyFont="1" applyFill="1" applyAlignment="1">
      <alignment horizontal="right" wrapText="1"/>
    </xf>
    <xf numFmtId="173" fontId="9" fillId="23" borderId="83" xfId="0" applyNumberFormat="1" applyFont="1" applyFill="1" applyBorder="1"/>
    <xf numFmtId="173" fontId="8" fillId="23" borderId="80" xfId="0" applyNumberFormat="1" applyFont="1" applyFill="1" applyBorder="1" applyAlignment="1">
      <alignment horizontal="right" wrapText="1"/>
    </xf>
    <xf numFmtId="1" fontId="9" fillId="23" borderId="80" xfId="0" applyNumberFormat="1" applyFont="1" applyFill="1" applyBorder="1"/>
    <xf numFmtId="173" fontId="9" fillId="23" borderId="80" xfId="0" applyNumberFormat="1" applyFont="1" applyFill="1" applyBorder="1"/>
    <xf numFmtId="173" fontId="9" fillId="23" borderId="83" xfId="0" applyNumberFormat="1" applyFont="1" applyFill="1" applyBorder="1" applyAlignment="1">
      <alignment horizontal="right"/>
    </xf>
    <xf numFmtId="173" fontId="9" fillId="19" borderId="24" xfId="0" applyNumberFormat="1" applyFont="1" applyFill="1" applyBorder="1" applyAlignment="1">
      <alignment vertical="center"/>
    </xf>
    <xf numFmtId="173" fontId="9" fillId="17" borderId="134" xfId="0" applyNumberFormat="1" applyFont="1" applyFill="1" applyBorder="1"/>
    <xf numFmtId="173" fontId="13" fillId="23" borderId="135" xfId="0" applyNumberFormat="1" applyFont="1" applyFill="1" applyBorder="1"/>
    <xf numFmtId="173" fontId="13" fillId="23" borderId="136" xfId="0" applyNumberFormat="1" applyFont="1" applyFill="1" applyBorder="1"/>
    <xf numFmtId="173" fontId="9" fillId="19" borderId="137" xfId="0" applyNumberFormat="1" applyFont="1" applyFill="1" applyBorder="1" applyAlignment="1">
      <alignment horizontal="right"/>
    </xf>
    <xf numFmtId="173" fontId="9" fillId="19" borderId="114" xfId="0" applyNumberFormat="1" applyFont="1" applyFill="1" applyBorder="1" applyAlignment="1">
      <alignment horizontal="right"/>
    </xf>
    <xf numFmtId="178" fontId="13" fillId="23" borderId="83" xfId="0" applyNumberFormat="1" applyFont="1" applyFill="1" applyBorder="1"/>
    <xf numFmtId="173" fontId="8" fillId="19" borderId="137" xfId="0" applyNumberFormat="1" applyFont="1" applyFill="1" applyBorder="1" applyAlignment="1">
      <alignment horizontal="right"/>
    </xf>
    <xf numFmtId="173" fontId="8" fillId="19" borderId="114" xfId="0" applyNumberFormat="1" applyFont="1" applyFill="1" applyBorder="1" applyAlignment="1">
      <alignment horizontal="right"/>
    </xf>
    <xf numFmtId="173" fontId="7" fillId="23" borderId="138" xfId="0" applyNumberFormat="1" applyFont="1" applyFill="1" applyBorder="1" applyAlignment="1">
      <alignment horizontal="right"/>
    </xf>
    <xf numFmtId="171" fontId="10" fillId="19" borderId="137" xfId="0" applyNumberFormat="1" applyFont="1" applyFill="1" applyBorder="1"/>
    <xf numFmtId="171" fontId="10" fillId="19" borderId="114" xfId="0" applyNumberFormat="1" applyFont="1" applyFill="1" applyBorder="1"/>
    <xf numFmtId="171" fontId="11" fillId="23" borderId="139" xfId="0" applyNumberFormat="1" applyFont="1" applyFill="1" applyBorder="1"/>
    <xf numFmtId="173" fontId="9" fillId="17" borderId="121" xfId="0" applyNumberFormat="1" applyFont="1" applyFill="1" applyBorder="1"/>
    <xf numFmtId="173" fontId="9" fillId="17" borderId="123" xfId="0" applyNumberFormat="1" applyFont="1" applyFill="1" applyBorder="1"/>
    <xf numFmtId="0" fontId="60" fillId="0" borderId="0" xfId="0" applyFont="1"/>
    <xf numFmtId="167" fontId="60" fillId="0" borderId="0" xfId="3" applyNumberFormat="1" applyFont="1"/>
    <xf numFmtId="167" fontId="60" fillId="0" borderId="0" xfId="2" applyNumberFormat="1" applyFont="1" applyFill="1" applyBorder="1"/>
    <xf numFmtId="173" fontId="60" fillId="0" borderId="0" xfId="3" applyNumberFormat="1" applyFont="1"/>
    <xf numFmtId="171" fontId="60" fillId="0" borderId="0" xfId="3" applyNumberFormat="1" applyFont="1"/>
    <xf numFmtId="171" fontId="60" fillId="0" borderId="0" xfId="0" applyNumberFormat="1" applyFont="1"/>
    <xf numFmtId="0" fontId="60" fillId="23" borderId="0" xfId="0" applyFont="1" applyFill="1" applyAlignment="1">
      <alignment horizontal="center" vertical="top" wrapText="1"/>
    </xf>
    <xf numFmtId="173" fontId="14" fillId="11" borderId="0" xfId="0" applyNumberFormat="1" applyFont="1" applyFill="1"/>
    <xf numFmtId="173" fontId="14" fillId="19" borderId="81" xfId="0" applyNumberFormat="1" applyFont="1" applyFill="1" applyBorder="1" applyAlignment="1">
      <alignment wrapText="1"/>
    </xf>
    <xf numFmtId="173" fontId="14" fillId="19" borderId="81" xfId="0" applyNumberFormat="1" applyFont="1" applyFill="1" applyBorder="1"/>
    <xf numFmtId="173" fontId="46" fillId="18" borderId="9" xfId="0" applyNumberFormat="1" applyFont="1" applyFill="1" applyBorder="1"/>
    <xf numFmtId="173" fontId="58" fillId="22" borderId="110" xfId="0" applyNumberFormat="1" applyFont="1" applyFill="1" applyBorder="1"/>
    <xf numFmtId="173" fontId="9" fillId="17" borderId="127" xfId="0" applyNumberFormat="1" applyFont="1" applyFill="1" applyBorder="1"/>
    <xf numFmtId="173" fontId="9" fillId="17" borderId="128" xfId="0" applyNumberFormat="1" applyFont="1" applyFill="1" applyBorder="1"/>
    <xf numFmtId="173" fontId="9" fillId="17" borderId="127" xfId="0" applyNumberFormat="1" applyFont="1" applyFill="1" applyBorder="1" applyAlignment="1">
      <alignment horizontal="right"/>
    </xf>
    <xf numFmtId="173" fontId="9" fillId="17" borderId="128" xfId="0" applyNumberFormat="1" applyFont="1" applyFill="1" applyBorder="1" applyAlignment="1">
      <alignment horizontal="right"/>
    </xf>
    <xf numFmtId="173" fontId="9" fillId="19" borderId="114" xfId="0" applyNumberFormat="1" applyFont="1" applyFill="1" applyBorder="1"/>
    <xf numFmtId="173" fontId="13" fillId="23" borderId="139" xfId="0" applyNumberFormat="1" applyFont="1" applyFill="1" applyBorder="1"/>
    <xf numFmtId="173" fontId="9" fillId="17" borderId="77" xfId="0" applyNumberFormat="1" applyFont="1" applyFill="1" applyBorder="1" applyAlignment="1">
      <alignment horizontal="right"/>
    </xf>
    <xf numFmtId="173" fontId="8" fillId="17" borderId="0" xfId="0" applyNumberFormat="1" applyFont="1" applyFill="1" applyAlignment="1">
      <alignment horizontal="right"/>
    </xf>
    <xf numFmtId="172" fontId="8" fillId="17" borderId="4" xfId="0" applyNumberFormat="1" applyFont="1" applyFill="1" applyBorder="1"/>
    <xf numFmtId="173" fontId="8" fillId="17" borderId="77" xfId="0" applyNumberFormat="1" applyFont="1" applyFill="1" applyBorder="1" applyAlignment="1">
      <alignment horizontal="right"/>
    </xf>
    <xf numFmtId="1" fontId="9" fillId="17" borderId="77" xfId="0" applyNumberFormat="1" applyFont="1" applyFill="1" applyBorder="1"/>
    <xf numFmtId="173" fontId="9" fillId="17" borderId="77" xfId="0" applyNumberFormat="1" applyFont="1" applyFill="1" applyBorder="1"/>
    <xf numFmtId="173" fontId="8" fillId="17" borderId="24" xfId="0" applyNumberFormat="1" applyFont="1" applyFill="1" applyBorder="1"/>
    <xf numFmtId="173" fontId="9" fillId="17" borderId="24" xfId="0" applyNumberFormat="1" applyFont="1" applyFill="1" applyBorder="1" applyAlignment="1">
      <alignment horizontal="right"/>
    </xf>
    <xf numFmtId="173" fontId="10" fillId="17" borderId="81" xfId="0" applyNumberFormat="1" applyFont="1" applyFill="1" applyBorder="1"/>
    <xf numFmtId="173" fontId="10" fillId="17" borderId="24" xfId="0" applyNumberFormat="1" applyFont="1" applyFill="1" applyBorder="1"/>
    <xf numFmtId="173" fontId="10" fillId="17" borderId="0" xfId="0" applyNumberFormat="1" applyFont="1" applyFill="1"/>
    <xf numFmtId="1" fontId="10" fillId="17" borderId="0" xfId="0" applyNumberFormat="1" applyFont="1" applyFill="1"/>
    <xf numFmtId="171" fontId="10" fillId="17" borderId="24" xfId="3" applyNumberFormat="1" applyFont="1" applyFill="1" applyBorder="1"/>
    <xf numFmtId="171" fontId="10" fillId="17" borderId="0" xfId="0" applyNumberFormat="1" applyFont="1" applyFill="1"/>
    <xf numFmtId="1" fontId="10" fillId="17" borderId="77" xfId="0" applyNumberFormat="1" applyFont="1" applyFill="1" applyBorder="1"/>
    <xf numFmtId="173" fontId="8" fillId="17" borderId="0" xfId="0" applyNumberFormat="1" applyFont="1" applyFill="1" applyAlignment="1">
      <alignment horizontal="right" wrapText="1"/>
    </xf>
    <xf numFmtId="173" fontId="9" fillId="17" borderId="130" xfId="0" applyNumberFormat="1" applyFont="1" applyFill="1" applyBorder="1" applyAlignment="1">
      <alignment wrapText="1"/>
    </xf>
    <xf numFmtId="1" fontId="8" fillId="17" borderId="0" xfId="0" applyNumberFormat="1" applyFont="1" applyFill="1"/>
    <xf numFmtId="171" fontId="8" fillId="17" borderId="83" xfId="0" applyNumberFormat="1" applyFont="1" applyFill="1" applyBorder="1"/>
    <xf numFmtId="174" fontId="8" fillId="17" borderId="80" xfId="0" applyNumberFormat="1" applyFont="1" applyFill="1" applyBorder="1"/>
    <xf numFmtId="173" fontId="15" fillId="17" borderId="81" xfId="0" applyNumberFormat="1" applyFont="1" applyFill="1" applyBorder="1"/>
    <xf numFmtId="173" fontId="15" fillId="17" borderId="77" xfId="0" applyNumberFormat="1" applyFont="1" applyFill="1" applyBorder="1"/>
    <xf numFmtId="173" fontId="10" fillId="17" borderId="24" xfId="3" applyNumberFormat="1" applyFont="1" applyFill="1" applyBorder="1"/>
    <xf numFmtId="173" fontId="11" fillId="23" borderId="24" xfId="3" applyNumberFormat="1" applyFont="1" applyFill="1" applyBorder="1"/>
    <xf numFmtId="167" fontId="9" fillId="17" borderId="24" xfId="0" applyNumberFormat="1" applyFont="1" applyFill="1" applyBorder="1"/>
    <xf numFmtId="167" fontId="9" fillId="17" borderId="24" xfId="3" applyNumberFormat="1" applyFont="1" applyFill="1" applyBorder="1"/>
    <xf numFmtId="0" fontId="11" fillId="23" borderId="80" xfId="0" applyFont="1" applyFill="1" applyBorder="1"/>
    <xf numFmtId="2" fontId="36" fillId="0" borderId="0" xfId="0" applyNumberFormat="1" applyFont="1"/>
    <xf numFmtId="43" fontId="9" fillId="17" borderId="81" xfId="10" applyFont="1" applyFill="1" applyBorder="1"/>
    <xf numFmtId="173" fontId="49" fillId="22" borderId="72" xfId="0" applyNumberFormat="1" applyFont="1" applyFill="1" applyBorder="1" applyAlignment="1">
      <alignment horizontal="right"/>
    </xf>
    <xf numFmtId="173" fontId="11" fillId="22" borderId="24" xfId="0" applyNumberFormat="1" applyFont="1" applyFill="1" applyBorder="1"/>
    <xf numFmtId="176" fontId="10" fillId="17" borderId="0" xfId="0" applyNumberFormat="1" applyFont="1" applyFill="1"/>
    <xf numFmtId="1" fontId="9" fillId="17" borderId="27" xfId="0" applyNumberFormat="1" applyFont="1" applyFill="1" applyBorder="1"/>
    <xf numFmtId="176" fontId="10" fillId="17" borderId="27" xfId="0" applyNumberFormat="1" applyFont="1" applyFill="1" applyBorder="1"/>
    <xf numFmtId="176" fontId="9" fillId="17" borderId="24" xfId="0" applyNumberFormat="1" applyFont="1" applyFill="1" applyBorder="1"/>
    <xf numFmtId="178" fontId="9" fillId="19" borderId="0" xfId="0" applyNumberFormat="1" applyFont="1" applyFill="1"/>
    <xf numFmtId="173" fontId="7" fillId="23" borderId="80" xfId="0" applyNumberFormat="1" applyFont="1" applyFill="1" applyBorder="1" applyAlignment="1">
      <alignment horizontal="right"/>
    </xf>
    <xf numFmtId="173" fontId="10" fillId="17" borderId="53" xfId="0" applyNumberFormat="1" applyFont="1" applyFill="1" applyBorder="1"/>
    <xf numFmtId="173" fontId="9" fillId="17" borderId="77" xfId="0" applyNumberFormat="1" applyFont="1" applyFill="1" applyBorder="1" applyAlignment="1">
      <alignment horizontal="right" vertical="center"/>
    </xf>
    <xf numFmtId="173" fontId="9" fillId="17" borderId="0" xfId="0" applyNumberFormat="1" applyFont="1" applyFill="1" applyAlignment="1">
      <alignment horizontal="right" vertical="center"/>
    </xf>
    <xf numFmtId="175" fontId="26" fillId="0" borderId="0" xfId="0" applyNumberFormat="1" applyFont="1"/>
    <xf numFmtId="175" fontId="0" fillId="0" borderId="0" xfId="0" applyNumberFormat="1" applyAlignment="1">
      <alignment vertical="center"/>
    </xf>
    <xf numFmtId="14" fontId="37" fillId="0" borderId="0" xfId="0" applyNumberFormat="1" applyFont="1" applyAlignment="1">
      <alignment vertical="center"/>
    </xf>
    <xf numFmtId="14" fontId="36" fillId="0" borderId="0" xfId="0" applyNumberFormat="1" applyFont="1" applyAlignment="1">
      <alignment vertical="center"/>
    </xf>
    <xf numFmtId="0" fontId="90" fillId="0" borderId="0" xfId="0" applyFont="1" applyAlignment="1">
      <alignment vertical="center"/>
    </xf>
    <xf numFmtId="0" fontId="36" fillId="0" borderId="0" xfId="0" applyFont="1" applyAlignment="1">
      <alignment vertical="center"/>
    </xf>
    <xf numFmtId="11" fontId="36" fillId="0" borderId="0" xfId="0" applyNumberFormat="1" applyFont="1" applyAlignment="1">
      <alignment vertical="center"/>
    </xf>
    <xf numFmtId="167" fontId="8" fillId="52" borderId="95" xfId="3" applyNumberFormat="1" applyFont="1" applyFill="1" applyBorder="1"/>
    <xf numFmtId="167" fontId="8" fillId="52" borderId="95" xfId="0" applyNumberFormat="1" applyFont="1" applyFill="1" applyBorder="1"/>
    <xf numFmtId="173" fontId="9" fillId="53" borderId="77" xfId="0" applyNumberFormat="1" applyFont="1" applyFill="1" applyBorder="1"/>
    <xf numFmtId="173" fontId="9" fillId="53" borderId="12" xfId="0" applyNumberFormat="1" applyFont="1" applyFill="1" applyBorder="1"/>
    <xf numFmtId="173" fontId="9" fillId="53" borderId="0" xfId="0" applyNumberFormat="1" applyFont="1" applyFill="1"/>
    <xf numFmtId="1" fontId="0" fillId="22" borderId="0" xfId="0" applyNumberFormat="1" applyFill="1"/>
    <xf numFmtId="43" fontId="9" fillId="17" borderId="24" xfId="10" applyFont="1" applyFill="1" applyBorder="1"/>
    <xf numFmtId="173" fontId="9" fillId="17" borderId="81" xfId="0" applyNumberFormat="1" applyFont="1" applyFill="1" applyBorder="1"/>
    <xf numFmtId="173" fontId="9" fillId="17" borderId="140" xfId="0" applyNumberFormat="1" applyFont="1" applyFill="1" applyBorder="1"/>
    <xf numFmtId="173" fontId="34" fillId="19" borderId="137" xfId="0" applyNumberFormat="1" applyFont="1" applyFill="1" applyBorder="1"/>
    <xf numFmtId="173" fontId="34" fillId="19" borderId="114" xfId="0" applyNumberFormat="1" applyFont="1" applyFill="1" applyBorder="1"/>
    <xf numFmtId="0" fontId="0" fillId="0" borderId="0" xfId="0" applyAlignment="1">
      <alignment vertical="center"/>
    </xf>
    <xf numFmtId="1" fontId="0" fillId="0" borderId="2" xfId="0" applyNumberFormat="1" applyBorder="1"/>
    <xf numFmtId="44" fontId="85" fillId="0" borderId="0" xfId="0" applyNumberFormat="1" applyFont="1"/>
    <xf numFmtId="44" fontId="0" fillId="0" borderId="0" xfId="0" applyNumberFormat="1"/>
    <xf numFmtId="0" fontId="65" fillId="24" borderId="0" xfId="0" applyFont="1" applyFill="1" applyAlignment="1">
      <alignment horizontal="center"/>
    </xf>
    <xf numFmtId="0" fontId="56" fillId="24" borderId="0" xfId="0" applyFont="1" applyFill="1" applyAlignment="1">
      <alignment horizontal="center"/>
    </xf>
    <xf numFmtId="0" fontId="66" fillId="25" borderId="26" xfId="0" applyFont="1" applyFill="1" applyBorder="1" applyAlignment="1">
      <alignment horizontal="center"/>
    </xf>
    <xf numFmtId="0" fontId="57" fillId="25" borderId="12" xfId="0" applyFont="1" applyFill="1" applyBorder="1" applyAlignment="1">
      <alignment horizontal="center"/>
    </xf>
    <xf numFmtId="0" fontId="63" fillId="29" borderId="0" xfId="0" applyFont="1" applyFill="1" applyAlignment="1">
      <alignment horizontal="center" vertical="top" wrapText="1"/>
    </xf>
    <xf numFmtId="0" fontId="63" fillId="29" borderId="23" xfId="0" applyFont="1" applyFill="1" applyBorder="1" applyAlignment="1">
      <alignment horizontal="center" vertical="top" wrapText="1"/>
    </xf>
    <xf numFmtId="173" fontId="74" fillId="41" borderId="0" xfId="0" applyNumberFormat="1" applyFont="1" applyFill="1" applyAlignment="1">
      <alignment horizontal="center"/>
    </xf>
    <xf numFmtId="173" fontId="74" fillId="31" borderId="0" xfId="0" applyNumberFormat="1" applyFont="1" applyFill="1" applyAlignment="1">
      <alignment horizontal="center"/>
    </xf>
    <xf numFmtId="173" fontId="14" fillId="11" borderId="0" xfId="0" applyNumberFormat="1" applyFont="1" applyFill="1" applyAlignment="1">
      <alignment horizontal="center"/>
    </xf>
    <xf numFmtId="173" fontId="74" fillId="42" borderId="0" xfId="0" applyNumberFormat="1" applyFont="1" applyFill="1" applyAlignment="1">
      <alignment horizontal="left"/>
    </xf>
    <xf numFmtId="0" fontId="30" fillId="31" borderId="0" xfId="0" applyFont="1" applyFill="1" applyAlignment="1">
      <alignment horizontal="center" vertical="center"/>
    </xf>
    <xf numFmtId="0" fontId="72" fillId="41" borderId="0" xfId="0" applyFont="1" applyFill="1" applyAlignment="1">
      <alignment horizontal="center" vertical="center"/>
    </xf>
    <xf numFmtId="0" fontId="13" fillId="41" borderId="0" xfId="0" applyFont="1" applyFill="1" applyAlignment="1">
      <alignment horizontal="center" vertical="center"/>
    </xf>
    <xf numFmtId="0" fontId="58" fillId="13" borderId="0" xfId="0" applyFont="1" applyFill="1" applyAlignment="1">
      <alignment horizontal="center"/>
    </xf>
    <xf numFmtId="0" fontId="0" fillId="13" borderId="0" xfId="0" applyFill="1" applyAlignment="1">
      <alignment horizontal="center"/>
    </xf>
    <xf numFmtId="173" fontId="77" fillId="23" borderId="75" xfId="0" applyNumberFormat="1" applyFont="1" applyFill="1" applyBorder="1" applyAlignment="1">
      <alignment horizontal="center" vertical="center" wrapText="1"/>
    </xf>
    <xf numFmtId="173" fontId="77" fillId="23" borderId="78" xfId="0" applyNumberFormat="1" applyFont="1" applyFill="1" applyBorder="1" applyAlignment="1">
      <alignment horizontal="center" vertical="center" wrapText="1"/>
    </xf>
    <xf numFmtId="173" fontId="78" fillId="51" borderId="75" xfId="0" applyNumberFormat="1" applyFont="1" applyFill="1" applyBorder="1" applyAlignment="1">
      <alignment horizontal="center" vertical="center"/>
    </xf>
    <xf numFmtId="173" fontId="78" fillId="51" borderId="78" xfId="0" applyNumberFormat="1" applyFont="1" applyFill="1" applyBorder="1" applyAlignment="1">
      <alignment horizontal="center" vertical="center"/>
    </xf>
    <xf numFmtId="173" fontId="78" fillId="51" borderId="79" xfId="0" applyNumberFormat="1" applyFont="1" applyFill="1" applyBorder="1" applyAlignment="1">
      <alignment horizontal="center" vertical="center"/>
    </xf>
    <xf numFmtId="173" fontId="78" fillId="23" borderId="35" xfId="0" applyNumberFormat="1" applyFont="1" applyFill="1" applyBorder="1" applyAlignment="1">
      <alignment horizontal="center" vertical="center"/>
    </xf>
    <xf numFmtId="173" fontId="78" fillId="23" borderId="105" xfId="0" applyNumberFormat="1" applyFont="1" applyFill="1" applyBorder="1" applyAlignment="1">
      <alignment horizontal="center" vertical="center"/>
    </xf>
    <xf numFmtId="173" fontId="78" fillId="23" borderId="99" xfId="0" applyNumberFormat="1" applyFont="1" applyFill="1" applyBorder="1" applyAlignment="1">
      <alignment horizontal="center" vertical="center"/>
    </xf>
    <xf numFmtId="173" fontId="83" fillId="23" borderId="12" xfId="0" applyNumberFormat="1" applyFont="1" applyFill="1" applyBorder="1" applyAlignment="1">
      <alignment horizontal="center" vertical="center"/>
    </xf>
    <xf numFmtId="173" fontId="83" fillId="23" borderId="0" xfId="0" applyNumberFormat="1" applyFont="1" applyFill="1" applyAlignment="1">
      <alignment horizontal="center" vertical="center"/>
    </xf>
    <xf numFmtId="173" fontId="83" fillId="23" borderId="2" xfId="0" applyNumberFormat="1" applyFont="1" applyFill="1" applyBorder="1" applyAlignment="1">
      <alignment horizontal="center" vertical="center"/>
    </xf>
    <xf numFmtId="173" fontId="83" fillId="23" borderId="27" xfId="0" applyNumberFormat="1" applyFont="1" applyFill="1" applyBorder="1" applyAlignment="1">
      <alignment horizontal="center" vertical="center"/>
    </xf>
    <xf numFmtId="173" fontId="83" fillId="23" borderId="12" xfId="0" applyNumberFormat="1" applyFont="1" applyFill="1" applyBorder="1" applyAlignment="1">
      <alignment horizontal="center" vertical="center" wrapText="1"/>
    </xf>
    <xf numFmtId="173" fontId="83" fillId="23" borderId="0" xfId="0" applyNumberFormat="1" applyFont="1" applyFill="1" applyAlignment="1">
      <alignment horizontal="center" vertical="center" wrapText="1"/>
    </xf>
    <xf numFmtId="173" fontId="83" fillId="23" borderId="2" xfId="0" applyNumberFormat="1" applyFont="1" applyFill="1" applyBorder="1" applyAlignment="1">
      <alignment horizontal="center" vertical="center" wrapText="1"/>
    </xf>
    <xf numFmtId="173" fontId="83" fillId="23" borderId="35" xfId="0" applyNumberFormat="1" applyFont="1" applyFill="1" applyBorder="1" applyAlignment="1">
      <alignment horizontal="center" vertical="center"/>
    </xf>
    <xf numFmtId="172" fontId="7" fillId="23" borderId="75" xfId="0" applyNumberFormat="1" applyFont="1" applyFill="1" applyBorder="1" applyAlignment="1">
      <alignment horizontal="center" vertical="center"/>
    </xf>
    <xf numFmtId="172" fontId="7" fillId="23" borderId="78" xfId="0" applyNumberFormat="1" applyFont="1" applyFill="1" applyBorder="1" applyAlignment="1">
      <alignment horizontal="center" vertical="center"/>
    </xf>
    <xf numFmtId="173" fontId="14" fillId="11" borderId="80" xfId="0" applyNumberFormat="1" applyFont="1" applyFill="1" applyBorder="1" applyAlignment="1">
      <alignment horizontal="center"/>
    </xf>
    <xf numFmtId="172" fontId="7" fillId="23" borderId="79" xfId="0" applyNumberFormat="1" applyFont="1" applyFill="1" applyBorder="1" applyAlignment="1">
      <alignment horizontal="center" vertical="center"/>
    </xf>
    <xf numFmtId="172" fontId="13" fillId="51" borderId="75" xfId="0" applyNumberFormat="1" applyFont="1" applyFill="1" applyBorder="1" applyAlignment="1">
      <alignment horizontal="center" vertical="center"/>
    </xf>
    <xf numFmtId="172" fontId="13" fillId="51" borderId="78" xfId="0" applyNumberFormat="1" applyFont="1" applyFill="1" applyBorder="1" applyAlignment="1">
      <alignment horizontal="center" vertical="center"/>
    </xf>
    <xf numFmtId="172" fontId="13" fillId="51" borderId="79" xfId="0" applyNumberFormat="1" applyFont="1" applyFill="1" applyBorder="1" applyAlignment="1">
      <alignment horizontal="center" vertical="center"/>
    </xf>
    <xf numFmtId="172" fontId="7" fillId="23" borderId="78" xfId="0" applyNumberFormat="1" applyFont="1" applyFill="1" applyBorder="1" applyAlignment="1">
      <alignment horizontal="center" vertical="center" wrapText="1"/>
    </xf>
    <xf numFmtId="172" fontId="7" fillId="23" borderId="75" xfId="0" applyNumberFormat="1" applyFont="1" applyFill="1" applyBorder="1" applyAlignment="1">
      <alignment horizontal="center" vertical="center" wrapText="1"/>
    </xf>
    <xf numFmtId="173" fontId="7" fillId="51" borderId="78" xfId="0" applyNumberFormat="1" applyFont="1" applyFill="1" applyBorder="1" applyAlignment="1">
      <alignment horizontal="center" vertical="center"/>
    </xf>
    <xf numFmtId="173" fontId="7" fillId="51" borderId="79" xfId="0" applyNumberFormat="1" applyFont="1" applyFill="1" applyBorder="1" applyAlignment="1">
      <alignment horizontal="center" vertical="center"/>
    </xf>
    <xf numFmtId="173" fontId="7" fillId="23" borderId="75" xfId="0" applyNumberFormat="1" applyFont="1" applyFill="1" applyBorder="1" applyAlignment="1">
      <alignment horizontal="center" vertical="center"/>
    </xf>
    <xf numFmtId="173" fontId="7" fillId="23" borderId="79" xfId="0" applyNumberFormat="1" applyFont="1" applyFill="1" applyBorder="1" applyAlignment="1">
      <alignment horizontal="center" vertical="center"/>
    </xf>
    <xf numFmtId="173" fontId="7" fillId="23" borderId="78" xfId="0" applyNumberFormat="1" applyFont="1" applyFill="1" applyBorder="1" applyAlignment="1">
      <alignment horizontal="center" vertical="center"/>
    </xf>
    <xf numFmtId="173" fontId="7" fillId="23" borderId="115" xfId="0" applyNumberFormat="1" applyFont="1" applyFill="1" applyBorder="1" applyAlignment="1">
      <alignment horizontal="center" vertical="center"/>
    </xf>
    <xf numFmtId="173" fontId="7" fillId="51" borderId="75" xfId="0" applyNumberFormat="1" applyFont="1" applyFill="1" applyBorder="1" applyAlignment="1">
      <alignment horizontal="center" vertical="center"/>
    </xf>
    <xf numFmtId="0" fontId="18" fillId="23" borderId="96" xfId="0" applyFont="1" applyFill="1" applyBorder="1" applyAlignment="1">
      <alignment horizontal="center" vertical="center"/>
    </xf>
    <xf numFmtId="0" fontId="18" fillId="23" borderId="97" xfId="0" applyFont="1" applyFill="1" applyBorder="1" applyAlignment="1">
      <alignment horizontal="center" vertical="center"/>
    </xf>
    <xf numFmtId="0" fontId="18" fillId="23" borderId="98" xfId="0" applyFont="1" applyFill="1" applyBorder="1" applyAlignment="1">
      <alignment horizontal="center" vertical="center"/>
    </xf>
    <xf numFmtId="0" fontId="18" fillId="23" borderId="132" xfId="0" applyFont="1" applyFill="1" applyBorder="1" applyAlignment="1">
      <alignment horizontal="center" vertical="center"/>
    </xf>
    <xf numFmtId="173" fontId="11" fillId="0" borderId="0" xfId="0" applyNumberFormat="1" applyFont="1" applyAlignment="1">
      <alignment horizontal="center" vertical="center"/>
    </xf>
    <xf numFmtId="173" fontId="13" fillId="23" borderId="75" xfId="0" applyNumberFormat="1" applyFont="1" applyFill="1" applyBorder="1" applyAlignment="1">
      <alignment horizontal="center" vertical="center"/>
    </xf>
    <xf numFmtId="173" fontId="13" fillId="23" borderId="78" xfId="0" applyNumberFormat="1" applyFont="1" applyFill="1" applyBorder="1" applyAlignment="1">
      <alignment horizontal="center" vertical="center"/>
    </xf>
    <xf numFmtId="173" fontId="13" fillId="23" borderId="0" xfId="0" applyNumberFormat="1" applyFont="1" applyFill="1" applyAlignment="1">
      <alignment horizontal="center" vertical="center"/>
    </xf>
    <xf numFmtId="173" fontId="13" fillId="23" borderId="33" xfId="0" applyNumberFormat="1" applyFont="1" applyFill="1" applyBorder="1" applyAlignment="1">
      <alignment horizontal="center" vertical="center"/>
    </xf>
    <xf numFmtId="173" fontId="13" fillId="23" borderId="79" xfId="0" applyNumberFormat="1" applyFont="1" applyFill="1" applyBorder="1" applyAlignment="1">
      <alignment horizontal="center" vertical="center"/>
    </xf>
    <xf numFmtId="173" fontId="13" fillId="23" borderId="80" xfId="0" applyNumberFormat="1" applyFont="1" applyFill="1" applyBorder="1" applyAlignment="1">
      <alignment horizontal="center" vertical="center"/>
    </xf>
    <xf numFmtId="173" fontId="7" fillId="23" borderId="99" xfId="0" applyNumberFormat="1" applyFont="1" applyFill="1" applyBorder="1" applyAlignment="1">
      <alignment horizontal="center" vertical="center"/>
    </xf>
    <xf numFmtId="173" fontId="7" fillId="23" borderId="35" xfId="0" applyNumberFormat="1" applyFont="1" applyFill="1" applyBorder="1" applyAlignment="1">
      <alignment horizontal="center" vertical="center"/>
    </xf>
    <xf numFmtId="173" fontId="7" fillId="23" borderId="100" xfId="0" applyNumberFormat="1" applyFont="1" applyFill="1" applyBorder="1" applyAlignment="1">
      <alignment horizontal="center" vertical="center"/>
    </xf>
    <xf numFmtId="173" fontId="32" fillId="23" borderId="78" xfId="0" applyNumberFormat="1" applyFont="1" applyFill="1" applyBorder="1" applyAlignment="1">
      <alignment horizontal="center" vertical="center"/>
    </xf>
    <xf numFmtId="173" fontId="13" fillId="51" borderId="118" xfId="0" applyNumberFormat="1" applyFont="1" applyFill="1" applyBorder="1" applyAlignment="1">
      <alignment horizontal="center" vertical="center" wrapText="1"/>
    </xf>
    <xf numFmtId="173" fontId="13" fillId="51" borderId="11" xfId="0" applyNumberFormat="1" applyFont="1" applyFill="1" applyBorder="1" applyAlignment="1">
      <alignment horizontal="center" vertical="center" wrapText="1"/>
    </xf>
    <xf numFmtId="173" fontId="13" fillId="23" borderId="122" xfId="0" applyNumberFormat="1" applyFont="1" applyFill="1" applyBorder="1" applyAlignment="1">
      <alignment horizontal="center" vertical="center" wrapText="1"/>
    </xf>
    <xf numFmtId="173" fontId="13" fillId="23" borderId="0" xfId="0" applyNumberFormat="1" applyFont="1" applyFill="1" applyAlignment="1">
      <alignment horizontal="center" vertical="center" wrapText="1"/>
    </xf>
    <xf numFmtId="173" fontId="13" fillId="23" borderId="125" xfId="0" applyNumberFormat="1" applyFont="1" applyFill="1" applyBorder="1" applyAlignment="1">
      <alignment horizontal="center" vertical="center" wrapText="1"/>
    </xf>
    <xf numFmtId="173" fontId="13" fillId="23" borderId="2" xfId="0" applyNumberFormat="1" applyFont="1" applyFill="1" applyBorder="1" applyAlignment="1">
      <alignment horizontal="center" vertical="center" wrapText="1"/>
    </xf>
    <xf numFmtId="173" fontId="13" fillId="23" borderId="118" xfId="0" applyNumberFormat="1" applyFont="1" applyFill="1" applyBorder="1" applyAlignment="1">
      <alignment horizontal="center" vertical="center" wrapText="1"/>
    </xf>
    <xf numFmtId="173" fontId="13" fillId="23" borderId="11" xfId="0" applyNumberFormat="1" applyFont="1" applyFill="1" applyBorder="1" applyAlignment="1">
      <alignment horizontal="center" vertical="center" wrapText="1"/>
    </xf>
    <xf numFmtId="173" fontId="13" fillId="23" borderId="119" xfId="0" applyNumberFormat="1" applyFont="1" applyFill="1" applyBorder="1" applyAlignment="1">
      <alignment horizontal="center" vertical="center" wrapText="1"/>
    </xf>
    <xf numFmtId="0" fontId="11" fillId="23" borderId="0" xfId="0" applyFont="1" applyFill="1" applyAlignment="1">
      <alignment horizontal="center" vertical="center"/>
    </xf>
    <xf numFmtId="0" fontId="11" fillId="23" borderId="80" xfId="0" applyFont="1" applyFill="1" applyBorder="1" applyAlignment="1">
      <alignment horizontal="center" vertical="center"/>
    </xf>
    <xf numFmtId="173" fontId="7" fillId="23" borderId="75" xfId="0" applyNumberFormat="1" applyFont="1" applyFill="1" applyBorder="1" applyAlignment="1">
      <alignment horizontal="center" vertical="center" wrapText="1"/>
    </xf>
    <xf numFmtId="173" fontId="7" fillId="23" borderId="78" xfId="0" applyNumberFormat="1" applyFont="1" applyFill="1" applyBorder="1" applyAlignment="1">
      <alignment horizontal="center" vertical="center" wrapText="1"/>
    </xf>
    <xf numFmtId="173" fontId="7" fillId="23" borderId="133" xfId="0" applyNumberFormat="1" applyFont="1" applyFill="1" applyBorder="1" applyAlignment="1">
      <alignment horizontal="center" vertical="center" wrapText="1"/>
    </xf>
    <xf numFmtId="0" fontId="32" fillId="23" borderId="53" xfId="0" applyFont="1" applyFill="1" applyBorder="1" applyAlignment="1">
      <alignment horizontal="center" vertical="center" wrapText="1"/>
    </xf>
    <xf numFmtId="0" fontId="18" fillId="23" borderId="53" xfId="0" applyFont="1" applyFill="1" applyBorder="1" applyAlignment="1">
      <alignment horizontal="center" vertical="center" wrapText="1"/>
    </xf>
    <xf numFmtId="0" fontId="32" fillId="23" borderId="0" xfId="0" applyFont="1" applyFill="1" applyAlignment="1">
      <alignment horizontal="center" vertical="center"/>
    </xf>
    <xf numFmtId="0" fontId="32" fillId="23" borderId="80" xfId="0" applyFont="1" applyFill="1" applyBorder="1" applyAlignment="1">
      <alignment horizontal="center" vertical="center"/>
    </xf>
    <xf numFmtId="0" fontId="18" fillId="23" borderId="75" xfId="0" applyFont="1" applyFill="1" applyBorder="1" applyAlignment="1">
      <alignment horizontal="center" vertical="center"/>
    </xf>
    <xf numFmtId="0" fontId="18" fillId="23" borderId="78" xfId="0" applyFont="1" applyFill="1" applyBorder="1" applyAlignment="1">
      <alignment horizontal="center" vertical="center"/>
    </xf>
    <xf numFmtId="0" fontId="18" fillId="5" borderId="48" xfId="0" applyFont="1" applyFill="1" applyBorder="1" applyAlignment="1">
      <alignment horizontal="center" vertical="center"/>
    </xf>
    <xf numFmtId="0" fontId="18" fillId="5" borderId="49" xfId="0" applyFont="1" applyFill="1" applyBorder="1" applyAlignment="1">
      <alignment horizontal="center" vertical="center"/>
    </xf>
    <xf numFmtId="0" fontId="18" fillId="5" borderId="50" xfId="0" applyFont="1" applyFill="1" applyBorder="1" applyAlignment="1">
      <alignment horizontal="center" vertical="center"/>
    </xf>
    <xf numFmtId="0" fontId="22" fillId="3" borderId="47" xfId="0" applyFont="1" applyFill="1" applyBorder="1" applyAlignment="1">
      <alignment horizontal="left"/>
    </xf>
    <xf numFmtId="0" fontId="22" fillId="3" borderId="58" xfId="0" applyFont="1" applyFill="1" applyBorder="1" applyAlignment="1">
      <alignment horizontal="left"/>
    </xf>
    <xf numFmtId="0" fontId="22" fillId="3" borderId="19" xfId="0" applyFont="1" applyFill="1" applyBorder="1" applyAlignment="1">
      <alignment horizontal="center"/>
    </xf>
    <xf numFmtId="0" fontId="22" fillId="3" borderId="33" xfId="0" applyFont="1" applyFill="1" applyBorder="1" applyAlignment="1">
      <alignment horizontal="center"/>
    </xf>
    <xf numFmtId="0" fontId="22" fillId="2" borderId="54" xfId="0" applyFont="1" applyFill="1" applyBorder="1" applyAlignment="1">
      <alignment horizontal="center"/>
    </xf>
    <xf numFmtId="0" fontId="22" fillId="2" borderId="55" xfId="0" applyFont="1" applyFill="1" applyBorder="1" applyAlignment="1">
      <alignment horizontal="center"/>
    </xf>
    <xf numFmtId="0" fontId="22" fillId="2" borderId="57" xfId="0" applyFont="1" applyFill="1" applyBorder="1" applyAlignment="1">
      <alignment horizontal="center"/>
    </xf>
    <xf numFmtId="0" fontId="22" fillId="4" borderId="54" xfId="0" applyFont="1" applyFill="1" applyBorder="1" applyAlignment="1">
      <alignment horizontal="center"/>
    </xf>
    <xf numFmtId="0" fontId="22" fillId="4" borderId="55" xfId="0" applyFont="1" applyFill="1" applyBorder="1" applyAlignment="1">
      <alignment horizontal="center"/>
    </xf>
    <xf numFmtId="0" fontId="22" fillId="4" borderId="56" xfId="0" applyFont="1" applyFill="1" applyBorder="1" applyAlignment="1">
      <alignment horizontal="center"/>
    </xf>
    <xf numFmtId="0" fontId="18" fillId="11" borderId="49" xfId="0" applyFont="1" applyFill="1" applyBorder="1" applyAlignment="1">
      <alignment horizontal="center" vertical="center"/>
    </xf>
    <xf numFmtId="0" fontId="18" fillId="11" borderId="50" xfId="0" applyFont="1" applyFill="1" applyBorder="1" applyAlignment="1">
      <alignment horizontal="center" vertical="center"/>
    </xf>
    <xf numFmtId="0" fontId="18" fillId="16" borderId="48" xfId="0" applyFont="1" applyFill="1" applyBorder="1" applyAlignment="1">
      <alignment horizontal="center" vertical="center"/>
    </xf>
    <xf numFmtId="0" fontId="18" fillId="16" borderId="49" xfId="0" applyFont="1" applyFill="1" applyBorder="1" applyAlignment="1">
      <alignment horizontal="center" vertical="center"/>
    </xf>
    <xf numFmtId="0" fontId="18" fillId="16" borderId="50" xfId="0" applyFont="1" applyFill="1" applyBorder="1" applyAlignment="1">
      <alignment horizontal="center" vertical="center"/>
    </xf>
    <xf numFmtId="0" fontId="18" fillId="11" borderId="48" xfId="0" applyFont="1" applyFill="1" applyBorder="1" applyAlignment="1">
      <alignment horizontal="center" vertical="center"/>
    </xf>
    <xf numFmtId="0" fontId="18" fillId="11" borderId="48" xfId="0" applyFont="1" applyFill="1" applyBorder="1" applyAlignment="1" applyProtection="1">
      <alignment horizontal="center" vertical="center"/>
      <protection locked="0"/>
    </xf>
    <xf numFmtId="0" fontId="18" fillId="11" borderId="50" xfId="0" applyFont="1" applyFill="1" applyBorder="1" applyAlignment="1" applyProtection="1">
      <alignment horizontal="center" vertical="center"/>
      <protection locked="0"/>
    </xf>
    <xf numFmtId="0" fontId="23" fillId="0" borderId="0" xfId="0" applyFont="1" applyAlignment="1">
      <alignment horizontal="center"/>
    </xf>
    <xf numFmtId="0" fontId="0" fillId="0" borderId="0" xfId="0"/>
    <xf numFmtId="0" fontId="24" fillId="0" borderId="0" xfId="0" applyFont="1"/>
    <xf numFmtId="0" fontId="25" fillId="0" borderId="0" xfId="0" applyFont="1" applyAlignment="1">
      <alignment horizontal="center"/>
    </xf>
    <xf numFmtId="173" fontId="11" fillId="23" borderId="35" xfId="0" applyNumberFormat="1" applyFont="1" applyFill="1" applyBorder="1" applyAlignment="1">
      <alignment horizontal="center" vertical="center" wrapText="1"/>
    </xf>
    <xf numFmtId="173" fontId="18" fillId="23" borderId="75" xfId="0" applyNumberFormat="1" applyFont="1" applyFill="1" applyBorder="1" applyAlignment="1">
      <alignment horizontal="center" vertical="center"/>
    </xf>
    <xf numFmtId="173" fontId="18" fillId="23" borderId="78" xfId="0" applyNumberFormat="1" applyFont="1" applyFill="1" applyBorder="1" applyAlignment="1">
      <alignment horizontal="center" vertical="center"/>
    </xf>
    <xf numFmtId="173" fontId="18" fillId="23" borderId="79" xfId="0" applyNumberFormat="1" applyFont="1" applyFill="1" applyBorder="1" applyAlignment="1">
      <alignment horizontal="center" vertical="center"/>
    </xf>
    <xf numFmtId="0" fontId="11" fillId="23" borderId="77" xfId="0" applyFont="1" applyFill="1" applyBorder="1" applyAlignment="1">
      <alignment horizontal="center" vertical="center"/>
    </xf>
    <xf numFmtId="0" fontId="11" fillId="23" borderId="52" xfId="0" applyFont="1" applyFill="1" applyBorder="1" applyAlignment="1">
      <alignment horizontal="center" vertical="center"/>
    </xf>
    <xf numFmtId="173" fontId="13" fillId="23" borderId="35" xfId="0" applyNumberFormat="1" applyFont="1" applyFill="1" applyBorder="1" applyAlignment="1">
      <alignment horizontal="center" vertical="center"/>
    </xf>
    <xf numFmtId="173" fontId="13" fillId="23" borderId="36" xfId="0" applyNumberFormat="1" applyFont="1" applyFill="1" applyBorder="1" applyAlignment="1">
      <alignment horizontal="center" vertical="center"/>
    </xf>
  </cellXfs>
  <cellStyles count="11">
    <cellStyle name="Besuchter Hyperlink" xfId="9" builtinId="9" hidden="1"/>
    <cellStyle name="Komma" xfId="10" builtinId="3"/>
    <cellStyle name="Link" xfId="8" builtinId="8"/>
    <cellStyle name="Normal 2" xfId="4" xr:uid="{00000000-0005-0000-0000-000005000000}"/>
    <cellStyle name="Normal 3" xfId="5" xr:uid="{00000000-0005-0000-0000-000006000000}"/>
    <cellStyle name="Normal 3 2" xfId="3" xr:uid="{00000000-0005-0000-0000-000007000000}"/>
    <cellStyle name="Normal 4" xfId="6" xr:uid="{00000000-0005-0000-0000-000008000000}"/>
    <cellStyle name="Prozent" xfId="2" builtinId="5"/>
    <cellStyle name="Standard" xfId="0" builtinId="0"/>
    <cellStyle name="Währung" xfId="1" builtinId="4"/>
    <cellStyle name="Währung [0]" xfId="7" builtinId="7"/>
  </cellStyles>
  <dxfs count="13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dxf>
    <dxf>
      <font>
        <color rgb="FFFF0000"/>
      </font>
    </dxf>
    <dxf>
      <font>
        <b val="0"/>
        <i val="0"/>
        <strike val="0"/>
        <condense val="0"/>
        <extend val="0"/>
        <outline val="0"/>
        <shadow val="0"/>
        <u val="none"/>
        <vertAlign val="baseline"/>
        <sz val="11"/>
        <color rgb="FF000000"/>
        <name val="Arial"/>
        <scheme val="none"/>
      </font>
      <fill>
        <patternFill patternType="solid">
          <fgColor rgb="FFEFE7F3"/>
          <bgColor theme="3"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rgb="FFCEB5DD"/>
        </top>
        <bottom style="thin">
          <color rgb="FFCEB5DD"/>
        </bottom>
      </border>
    </dxf>
    <dxf>
      <font>
        <b val="0"/>
        <i val="0"/>
        <strike val="0"/>
        <condense val="0"/>
        <extend val="0"/>
        <outline val="0"/>
        <shadow val="0"/>
        <u val="none"/>
        <vertAlign val="baseline"/>
        <sz val="11"/>
        <color rgb="FF000000"/>
        <name val="Arial"/>
        <scheme val="none"/>
      </font>
      <fill>
        <patternFill patternType="solid">
          <fgColor rgb="FFEFE7F3"/>
          <bgColor theme="3" tint="0.79998168889431442"/>
        </patternFill>
      </fill>
      <alignment horizontal="left" vertical="bottom" textRotation="0" wrapText="0" indent="0" justifyLastLine="0" shrinkToFit="0" readingOrder="0"/>
    </dxf>
    <dxf>
      <border outline="0">
        <top style="thin">
          <color auto="1"/>
        </top>
      </border>
    </dxf>
    <dxf>
      <font>
        <name val="Arial"/>
      </font>
      <fill>
        <patternFill patternType="solid">
          <bgColor theme="3" tint="0.79998168889431442"/>
        </patternFill>
      </fill>
    </dxf>
    <dxf>
      <border>
        <bottom style="thin">
          <color indexed="64"/>
        </bottom>
      </border>
    </dxf>
    <dxf>
      <font>
        <b/>
        <i val="0"/>
        <strike val="0"/>
        <condense val="0"/>
        <extend val="0"/>
        <outline val="0"/>
        <shadow val="0"/>
        <u val="none"/>
        <vertAlign val="baseline"/>
        <sz val="11"/>
        <color rgb="FFFFFFFF"/>
        <name val="Arial"/>
        <scheme val="none"/>
      </font>
      <fill>
        <patternFill patternType="solid">
          <fgColor rgb="FFAD84C6"/>
          <bgColor rgb="FFAD84C6"/>
        </patternFill>
      </fill>
      <alignment horizontal="left" vertical="bottom" textRotation="0" wrapText="0" indent="0" justifyLastLine="0" shrinkToFit="0" readingOrder="0"/>
    </dxf>
  </dxfs>
  <tableStyles count="0" defaultTableStyle="TableStyleMedium2" defaultPivotStyle="PivotStyleLight16"/>
  <colors>
    <mruColors>
      <color rgb="FF9FF8AA"/>
      <color rgb="FFDCB7EF"/>
      <color rgb="FFE89995"/>
      <color rgb="FFEB93AA"/>
      <color rgb="FFCDE4FF"/>
      <color rgb="FFBEB6EE"/>
      <color rgb="FFA1E2ED"/>
      <color rgb="FFF7B3B0"/>
      <color rgb="FFFF2600"/>
      <color rgb="FF294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38100</xdr:rowOff>
    </xdr:from>
    <xdr:to>
      <xdr:col>28</xdr:col>
      <xdr:colOff>552450</xdr:colOff>
      <xdr:row>9</xdr:row>
      <xdr:rowOff>247650</xdr:rowOff>
    </xdr:to>
    <xdr:sp macro="" textlink="">
      <xdr:nvSpPr>
        <xdr:cNvPr id="2" name="TextBox 1">
          <a:extLst>
            <a:ext uri="{FF2B5EF4-FFF2-40B4-BE49-F238E27FC236}">
              <a16:creationId xmlns:a16="http://schemas.microsoft.com/office/drawing/2014/main" id="{37B51BF0-8768-12A4-A1CA-15FC15030498}"/>
            </a:ext>
          </a:extLst>
        </xdr:cNvPr>
        <xdr:cNvSpPr txBox="1"/>
      </xdr:nvSpPr>
      <xdr:spPr>
        <a:xfrm>
          <a:off x="47625" y="38100"/>
          <a:ext cx="20812125" cy="1924050"/>
        </a:xfrm>
        <a:prstGeom prst="rect">
          <a:avLst/>
        </a:prstGeom>
        <a:solidFill>
          <a:schemeClr val="accent2">
            <a:lumMod val="20000"/>
            <a:lumOff val="8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800" b="0" i="0" u="none" strike="noStrike">
              <a:solidFill>
                <a:srgbClr val="000000"/>
              </a:solidFill>
              <a:latin typeface="Arial" panose="020B0604020202020204" pitchFamily="34" charset="0"/>
              <a:cs typeface="Arial" panose="020B0604020202020204" pitchFamily="34" charset="0"/>
            </a:rPr>
            <a:t>The following sheets labelled "Cashbook ING" and "Cashbook Wix" present all budget realisations reistered through the financial platforms used by AIM. The information presented is driectly dowlaoded from ING or Wix, providing an overview of the dates of the transaction, the relevent names and accounts affiliated with the transaction and the amount. The specific data varies between the different cashbooks, however each provide a clear overview of the relevant infromation. The dowloaded relasiations are categorized according to the committee or organsiation, the event and the specific expense contributing to the event. Blow is a brief description of each cashbook file; </a:t>
          </a:r>
          <a:endParaRPr lang="en-US" sz="1800" b="1" i="1" u="none" strike="noStrike">
            <a:solidFill>
              <a:schemeClr val="tx2">
                <a:lumMod val="50000"/>
              </a:schemeClr>
            </a:solidFill>
            <a:latin typeface="Arial" panose="020B0604020202020204" pitchFamily="34" charset="0"/>
            <a:cs typeface="Arial" panose="020B0604020202020204" pitchFamily="34" charset="0"/>
          </a:endParaRPr>
        </a:p>
        <a:p>
          <a:pPr marL="0" indent="0" algn="l"/>
          <a:r>
            <a:rPr lang="en-US" sz="1800" b="1" i="1" u="none" strike="noStrike">
              <a:solidFill>
                <a:schemeClr val="tx2">
                  <a:lumMod val="50000"/>
                </a:schemeClr>
              </a:solidFill>
              <a:latin typeface="Arial" panose="020B0604020202020204" pitchFamily="34" charset="0"/>
              <a:cs typeface="Arial" panose="020B0604020202020204" pitchFamily="34" charset="0"/>
            </a:rPr>
            <a:t>           Cashbook ING: </a:t>
          </a:r>
          <a:r>
            <a:rPr lang="en-US" sz="1800" b="0" i="1" u="none" strike="noStrike">
              <a:solidFill>
                <a:schemeClr val="tx2">
                  <a:lumMod val="50000"/>
                </a:schemeClr>
              </a:solidFill>
              <a:latin typeface="Arial" panose="020B0604020202020204" pitchFamily="34" charset="0"/>
              <a:cs typeface="Arial" panose="020B0604020202020204" pitchFamily="34" charset="0"/>
            </a:rPr>
            <a:t>Includes all transcations that take place on AIM's ING business account that are sorted into Kostensoort (type of cost) and Koostensplats (where the cost took place). </a:t>
          </a:r>
          <a:endParaRPr lang="en-US" sz="1800" b="1" i="1" u="none" strike="noStrike">
            <a:solidFill>
              <a:schemeClr val="tx2">
                <a:lumMod val="50000"/>
              </a:schemeClr>
            </a:solidFill>
            <a:latin typeface="Arial" panose="020B0604020202020204" pitchFamily="34" charset="0"/>
            <a:cs typeface="Arial" panose="020B0604020202020204" pitchFamily="34" charset="0"/>
          </a:endParaRPr>
        </a:p>
        <a:p>
          <a:pPr marL="0" marR="0" indent="0" algn="l">
            <a:lnSpc>
              <a:spcPct val="100000"/>
            </a:lnSpc>
            <a:spcBef>
              <a:spcPts val="0"/>
            </a:spcBef>
            <a:spcAft>
              <a:spcPts val="0"/>
            </a:spcAft>
          </a:pPr>
          <a:r>
            <a:rPr lang="en-US" sz="1800" b="1" i="1" u="none" strike="noStrike">
              <a:solidFill>
                <a:schemeClr val="tx2">
                  <a:lumMod val="50000"/>
                </a:schemeClr>
              </a:solidFill>
              <a:latin typeface="Arial" panose="020B0604020202020204" pitchFamily="34" charset="0"/>
              <a:cs typeface="Arial" panose="020B0604020202020204" pitchFamily="34" charset="0"/>
            </a:rPr>
            <a:t>           Cashbook Wix:</a:t>
          </a:r>
          <a:r>
            <a:rPr lang="en-US" sz="1800" b="0" i="1" u="none" strike="noStrike">
              <a:solidFill>
                <a:schemeClr val="tx2">
                  <a:lumMod val="50000"/>
                </a:schemeClr>
              </a:solidFill>
              <a:latin typeface="Arial" panose="020B0604020202020204" pitchFamily="34" charset="0"/>
              <a:cs typeface="Arial" panose="020B0604020202020204" pitchFamily="34" charset="0"/>
            </a:rPr>
            <a:t> Lists all the settlements thar are transfered from AIM's Wix account to AIM's ING buisness account that are sorted into Kostensoort (type of cost) and Koostensplats (where the cost took place).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9525</xdr:rowOff>
    </xdr:from>
    <xdr:to>
      <xdr:col>0</xdr:col>
      <xdr:colOff>3810000</xdr:colOff>
      <xdr:row>1</xdr:row>
      <xdr:rowOff>723900</xdr:rowOff>
    </xdr:to>
    <xdr:sp macro="" textlink="">
      <xdr:nvSpPr>
        <xdr:cNvPr id="2" name="TextBox 1">
          <a:extLst>
            <a:ext uri="{FF2B5EF4-FFF2-40B4-BE49-F238E27FC236}">
              <a16:creationId xmlns:a16="http://schemas.microsoft.com/office/drawing/2014/main" id="{71C74A32-130A-7706-609D-A182C3B44ED2}"/>
            </a:ext>
          </a:extLst>
        </xdr:cNvPr>
        <xdr:cNvSpPr txBox="1"/>
      </xdr:nvSpPr>
      <xdr:spPr>
        <a:xfrm>
          <a:off x="28575" y="219075"/>
          <a:ext cx="3781425" cy="714375"/>
        </a:xfrm>
        <a:prstGeom prst="rect">
          <a:avLst/>
        </a:prstGeom>
        <a:solidFill>
          <a:schemeClr val="accent2">
            <a:lumMod val="40000"/>
            <a:lumOff val="6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0" i="0" u="none" strike="noStrike">
              <a:solidFill>
                <a:srgbClr val="000000"/>
              </a:solidFill>
              <a:latin typeface="Arial" panose="020B0604020202020204" pitchFamily="34" charset="0"/>
              <a:cs typeface="Arial" panose="020B0604020202020204" pitchFamily="34" charset="0"/>
            </a:rPr>
            <a:t>Categorization of Kostensoorts for Cashbooks composed of the following: </a:t>
          </a:r>
          <a:r>
            <a:rPr lang="en-US" sz="1400" b="1" i="0" u="none" strike="noStrike">
              <a:solidFill>
                <a:srgbClr val="000000"/>
              </a:solidFill>
              <a:latin typeface="Arial" panose="020B0604020202020204" pitchFamily="34" charset="0"/>
              <a:cs typeface="Arial" panose="020B0604020202020204" pitchFamily="34" charset="0"/>
            </a:rPr>
            <a:t>Comittee/Organisation_Event_Expense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499438</xdr:colOff>
      <xdr:row>20</xdr:row>
      <xdr:rowOff>128428</xdr:rowOff>
    </xdr:from>
    <xdr:to>
      <xdr:col>1</xdr:col>
      <xdr:colOff>613595</xdr:colOff>
      <xdr:row>22</xdr:row>
      <xdr:rowOff>156967</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499438" y="8739028"/>
          <a:ext cx="2666857" cy="688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60 pairs</a:t>
          </a:r>
          <a:r>
            <a:rPr lang="en-GB" sz="1100" baseline="0"/>
            <a:t> 120 ppl signed up </a:t>
          </a:r>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Carla Gesell" id="{299F3FFC-E840-2A41-BC10-40604C644A75}" userId="b00fcd31f1601ef8" providerId="Windows Live"/>
  <person displayName="Jack Chatterton" id="{49B81AC4-CDC9-354A-8500-E054C111E48D}" userId="S::jack.chatterton@student.uva.nl::5d82d14a-29d8-4705-ab1d-bc94710772b9" providerId="AD"/>
  <person displayName="Minori Kawaguchi" id="{853623C9-9C70-0141-B5C4-582F61288BA3}" userId="S::minori.kawaguchi@student.uva.nl::232a3817-2d7b-44b6-946e-d21bcda4c6d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B47D99-B835-A547-A5FC-F89E48620192}" name="Table1" displayName="Table1" ref="A6:B28" totalsRowShown="0" headerRowDxfId="131" dataDxfId="129" headerRowBorderDxfId="130" tableBorderDxfId="128">
  <autoFilter ref="A6:B28" xr:uid="{CAB47D99-B835-A547-A5FC-F89E48620192}"/>
  <tableColumns count="2">
    <tableColumn id="1" xr3:uid="{D9C65598-FB1B-5F47-B6E8-AAD25BFB8FC7}" name="Sheet Name " dataDxfId="127"/>
    <tableColumn id="2" xr3:uid="{55DE3449-0C41-4441-93B1-F8C406935EE6}" name="Description" dataDxfId="126"/>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0-20T17:13:25.24" personId="{49B81AC4-CDC9-354A-8500-E054C111E48D}" id="{E6CD3D79-A1E7-FD45-931B-DADB54D50D8D}">
    <text>I love how many events you’re planning on hosting!!</text>
  </threadedComment>
  <threadedComment ref="A38" dT="2024-10-11T10:16:38.44" personId="{299F3FFC-E840-2A41-BC10-40604C644A75}" id="{A86E9AA3-B25C-E34A-8303-2C2EAD77D23C}">
    <text>04.02 potentially</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10-20T17:13:43.55" personId="{49B81AC4-CDC9-354A-8500-E054C111E48D}" id="{FC7B0222-19EA-D445-9A9A-1C583AFC2C49}">
    <text>Fantastic to see another busy schedule of events :)</text>
  </threadedComment>
  <threadedComment ref="E29" dT="2024-10-26T21:15:21.89" personId="{49B81AC4-CDC9-354A-8500-E054C111E48D}" id="{B89019EF-F636-374C-8649-FB6B5EEE88B2}">
    <text xml:space="preserve">Would you have people spend this amount and then AIM buys the Museumkaarts? Whats the idea here? Would seem like a logistical challenge. </text>
  </threadedComment>
  <threadedComment ref="E29" dT="2024-10-26T21:16:21.91" personId="{49B81AC4-CDC9-354A-8500-E054C111E48D}" id="{981B1283-FCED-2F47-85E5-82530990503C}" parentId="{B89019EF-F636-374C-8649-FB6B5EEE88B2}">
    <text xml:space="preserve">Are you planning on paying for the full museumkaart? See note inn expenses column stating 25*€75? Seems like you want to pay the full amount, maybe better to subsidise and then more people benefit from the subsidy </text>
  </threadedComment>
</ThreadedComments>
</file>

<file path=xl/threadedComments/threadedComment3.xml><?xml version="1.0" encoding="utf-8"?>
<ThreadedComments xmlns="http://schemas.microsoft.com/office/spreadsheetml/2018/threadedcomments" xmlns:x="http://schemas.openxmlformats.org/spreadsheetml/2006/main">
  <threadedComment ref="E13" dT="2024-10-20T17:43:36.97" personId="{49B81AC4-CDC9-354A-8500-E054C111E48D}" id="{555B109F-A0B1-C748-8685-CE6FC91EC3A6}">
    <text>Depending on how demand was last year you would reduce the ticket price a little. Especially since you’re receiving sponsorship</text>
  </threadedComment>
</ThreadedComments>
</file>

<file path=xl/threadedComments/threadedComment4.xml><?xml version="1.0" encoding="utf-8"?>
<ThreadedComments xmlns="http://schemas.microsoft.com/office/spreadsheetml/2018/threadedcomments" xmlns:x="http://schemas.openxmlformats.org/spreadsheetml/2006/main">
  <threadedComment ref="B7" dT="2022-04-01T15:09:22.74" personId="{853623C9-9C70-0141-B5C4-582F61288BA3}" id="{3B8562BD-BFDE-A240-A432-8C15AE4057EB}">
    <text>Paper (16), paint(50), tarp(15) paper towels (2), Palets(10), Canvaboard (50)</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3.xml"/><Relationship Id="rId4" Type="http://schemas.microsoft.com/office/2017/10/relationships/threadedComment" Target="../threadedComments/threadedComment4.x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6" Type="http://schemas.openxmlformats.org/officeDocument/2006/relationships/hyperlink" Target="https://moneybird.com/238154821397382597/documents/439018296525719403" TargetMode="External"/><Relationship Id="rId21" Type="http://schemas.openxmlformats.org/officeDocument/2006/relationships/hyperlink" Target="https://moneybird.com/238154821397382597/documents/439097833600059130" TargetMode="External"/><Relationship Id="rId42" Type="http://schemas.openxmlformats.org/officeDocument/2006/relationships/hyperlink" Target="https://moneybird.com/238154821397382597/documents/439537932977571546" TargetMode="External"/><Relationship Id="rId47" Type="http://schemas.openxmlformats.org/officeDocument/2006/relationships/hyperlink" Target="https://moneybird.com/238154821397382597/documents/446088176945071865" TargetMode="External"/><Relationship Id="rId63" Type="http://schemas.openxmlformats.org/officeDocument/2006/relationships/hyperlink" Target="https://moneybird.com/238154821397382597/documents/444334304844055731" TargetMode="External"/><Relationship Id="rId68" Type="http://schemas.openxmlformats.org/officeDocument/2006/relationships/hyperlink" Target="https://moneybird.com/238154821397382597/documents/453945331649873641" TargetMode="External"/><Relationship Id="rId7" Type="http://schemas.openxmlformats.org/officeDocument/2006/relationships/hyperlink" Target="https://moneybird.com/238154821397382597/documents/436918198549349432" TargetMode="External"/><Relationship Id="rId71" Type="http://schemas.openxmlformats.org/officeDocument/2006/relationships/hyperlink" Target="https://moneybird.com/238154821397382597/documents/468102676381435094" TargetMode="External"/><Relationship Id="rId2" Type="http://schemas.openxmlformats.org/officeDocument/2006/relationships/hyperlink" Target="https://moneybird.com/238154821397382597/documents/435303017951004305" TargetMode="External"/><Relationship Id="rId16" Type="http://schemas.openxmlformats.org/officeDocument/2006/relationships/hyperlink" Target="https://moneybird.com/238154821397382597/documents/435998403483141842" TargetMode="External"/><Relationship Id="rId29" Type="http://schemas.openxmlformats.org/officeDocument/2006/relationships/hyperlink" Target="https://moneybird.com/238154821397382597/documents/438989574438389544" TargetMode="External"/><Relationship Id="rId11" Type="http://schemas.openxmlformats.org/officeDocument/2006/relationships/hyperlink" Target="https://moneybird.com/238154821397382597/documents/438145534159488059" TargetMode="External"/><Relationship Id="rId24" Type="http://schemas.openxmlformats.org/officeDocument/2006/relationships/hyperlink" Target="https://moneybird.com/238154821397382597/documents/439271223212377247" TargetMode="External"/><Relationship Id="rId32" Type="http://schemas.openxmlformats.org/officeDocument/2006/relationships/hyperlink" Target="https://moneybird.com/238154821397382597/documents/438991612840772909" TargetMode="External"/><Relationship Id="rId37" Type="http://schemas.openxmlformats.org/officeDocument/2006/relationships/hyperlink" Target="https://moneybird.com/238154821397382597/documents/439844923160659526" TargetMode="External"/><Relationship Id="rId40" Type="http://schemas.openxmlformats.org/officeDocument/2006/relationships/hyperlink" Target="https://moneybird.com/238154821397382597/documents/439538025938027874" TargetMode="External"/><Relationship Id="rId45" Type="http://schemas.openxmlformats.org/officeDocument/2006/relationships/hyperlink" Target="https://moneybird.com/238154821397382597/documents/445617096659830420" TargetMode="External"/><Relationship Id="rId53" Type="http://schemas.openxmlformats.org/officeDocument/2006/relationships/hyperlink" Target="https://moneybird.com/238154821397382597/documents/443190471636812837" TargetMode="External"/><Relationship Id="rId58" Type="http://schemas.openxmlformats.org/officeDocument/2006/relationships/hyperlink" Target="https://moneybird.com/238154821397382597/documents/440124529442817944" TargetMode="External"/><Relationship Id="rId66" Type="http://schemas.openxmlformats.org/officeDocument/2006/relationships/hyperlink" Target="https://moneybird.com/238154821397382597/documents/453790156765267832" TargetMode="External"/><Relationship Id="rId5" Type="http://schemas.openxmlformats.org/officeDocument/2006/relationships/hyperlink" Target="https://moneybird.com/238154821397382597/documents/434818931353454005" TargetMode="External"/><Relationship Id="rId61" Type="http://schemas.openxmlformats.org/officeDocument/2006/relationships/hyperlink" Target="https://moneybird.com/238154821397382597/documents/444339057492756288" TargetMode="External"/><Relationship Id="rId19" Type="http://schemas.openxmlformats.org/officeDocument/2006/relationships/hyperlink" Target="https://moneybird.com/238154821397382597/documents/439458813626549514" TargetMode="External"/><Relationship Id="rId14" Type="http://schemas.openxmlformats.org/officeDocument/2006/relationships/hyperlink" Target="https://moneybird.com/238154821397382597/documents/437264992784353234" TargetMode="External"/><Relationship Id="rId22" Type="http://schemas.openxmlformats.org/officeDocument/2006/relationships/hyperlink" Target="https://moneybird.com/238154821397382597/documents/439097091390703189" TargetMode="External"/><Relationship Id="rId27" Type="http://schemas.openxmlformats.org/officeDocument/2006/relationships/hyperlink" Target="https://moneybird.com/238154821397382597/documents/438828502788080665" TargetMode="External"/><Relationship Id="rId30" Type="http://schemas.openxmlformats.org/officeDocument/2006/relationships/hyperlink" Target="https://moneybird.com/238154821397382597/documents/438989384164836988" TargetMode="External"/><Relationship Id="rId35" Type="http://schemas.openxmlformats.org/officeDocument/2006/relationships/hyperlink" Target="https://moneybird.com/238154821397382597/documents/438990442442261848" TargetMode="External"/><Relationship Id="rId43" Type="http://schemas.openxmlformats.org/officeDocument/2006/relationships/hyperlink" Target="https://moneybird.com/238154821397382597/documents/446180269768050087" TargetMode="External"/><Relationship Id="rId48" Type="http://schemas.openxmlformats.org/officeDocument/2006/relationships/hyperlink" Target="https://moneybird.com/238154821397382597/documents/446088567585768905" TargetMode="External"/><Relationship Id="rId56" Type="http://schemas.openxmlformats.org/officeDocument/2006/relationships/hyperlink" Target="https://moneybird.com/238154821397382597/documents/440031203901310596" TargetMode="External"/><Relationship Id="rId64" Type="http://schemas.openxmlformats.org/officeDocument/2006/relationships/hyperlink" Target="http://jumbo.com/" TargetMode="External"/><Relationship Id="rId69" Type="http://schemas.openxmlformats.org/officeDocument/2006/relationships/hyperlink" Target="https://moneybird.com/238154821397382597/documents/468084063767365339" TargetMode="External"/><Relationship Id="rId8" Type="http://schemas.openxmlformats.org/officeDocument/2006/relationships/hyperlink" Target="https://moneybird.com/238154821397382597/documents/436498117937858051" TargetMode="External"/><Relationship Id="rId51" Type="http://schemas.openxmlformats.org/officeDocument/2006/relationships/hyperlink" Target="https://moneybird.com/238154821397382597/documents/445181240394384921" TargetMode="External"/><Relationship Id="rId3" Type="http://schemas.openxmlformats.org/officeDocument/2006/relationships/hyperlink" Target="https://moneybird.com/238154821397382597/documents/435107106213856410" TargetMode="External"/><Relationship Id="rId12" Type="http://schemas.openxmlformats.org/officeDocument/2006/relationships/hyperlink" Target="https://moneybird.com/238154821397382597/documents/438186724623910386" TargetMode="External"/><Relationship Id="rId17" Type="http://schemas.openxmlformats.org/officeDocument/2006/relationships/hyperlink" Target="https://moneybird.com/238154821397382597/documents/436911762491573854" TargetMode="External"/><Relationship Id="rId25" Type="http://schemas.openxmlformats.org/officeDocument/2006/relationships/hyperlink" Target="http://moneybird.com/238154821397382597/documents/439271075248867051" TargetMode="External"/><Relationship Id="rId33" Type="http://schemas.openxmlformats.org/officeDocument/2006/relationships/hyperlink" Target="https://moneybird.com/238154821397382597/documents/438932004928488471" TargetMode="External"/><Relationship Id="rId38" Type="http://schemas.openxmlformats.org/officeDocument/2006/relationships/hyperlink" Target="https://moneybird.com/238154821397382597/documents/439897367937811920" TargetMode="External"/><Relationship Id="rId46" Type="http://schemas.openxmlformats.org/officeDocument/2006/relationships/hyperlink" Target="https://moneybird.com/238154821397382597/documents/445615571777619729" TargetMode="External"/><Relationship Id="rId59" Type="http://schemas.openxmlformats.org/officeDocument/2006/relationships/hyperlink" Target="https://moneybird.com/238154821397382597/documents/443712051059098920" TargetMode="External"/><Relationship Id="rId67" Type="http://schemas.openxmlformats.org/officeDocument/2006/relationships/hyperlink" Target="https://moneybird.com/238154821397382597/documents/453790027182245413" TargetMode="External"/><Relationship Id="rId20" Type="http://schemas.openxmlformats.org/officeDocument/2006/relationships/hyperlink" Target="https://moneybird.com/238154821397382597/documents/434772639803770818" TargetMode="External"/><Relationship Id="rId41" Type="http://schemas.openxmlformats.org/officeDocument/2006/relationships/hyperlink" Target="https://moneybird.com/238154821397382597/documents/439537976754571038" TargetMode="External"/><Relationship Id="rId54" Type="http://schemas.openxmlformats.org/officeDocument/2006/relationships/hyperlink" Target="https://moneybird.com/238154821397382597/documents/445181560511006684" TargetMode="External"/><Relationship Id="rId62" Type="http://schemas.openxmlformats.org/officeDocument/2006/relationships/hyperlink" Target="https://moneybird.com/238154821397382597/documents/445447187465241648" TargetMode="External"/><Relationship Id="rId70" Type="http://schemas.openxmlformats.org/officeDocument/2006/relationships/hyperlink" Target="https://moneybird.com/238154821397382597/documents/468102789768152904" TargetMode="External"/><Relationship Id="rId1" Type="http://schemas.openxmlformats.org/officeDocument/2006/relationships/hyperlink" Target="https://moneybird.com/238154821397382597/documents/434642105883690342" TargetMode="External"/><Relationship Id="rId6" Type="http://schemas.openxmlformats.org/officeDocument/2006/relationships/hyperlink" Target="https://moneybird.com/238154821397382597/documents/434292420556883054" TargetMode="External"/><Relationship Id="rId15" Type="http://schemas.openxmlformats.org/officeDocument/2006/relationships/hyperlink" Target="https://moneybird.com/238154821397382597/documents/437453737897755976" TargetMode="External"/><Relationship Id="rId23" Type="http://schemas.openxmlformats.org/officeDocument/2006/relationships/hyperlink" Target="https://moneybird.com/238154821397382597/documents/438995434939090286" TargetMode="External"/><Relationship Id="rId28" Type="http://schemas.openxmlformats.org/officeDocument/2006/relationships/hyperlink" Target="https://moneybird.com/238154821397382597/documents/438995666945967369" TargetMode="External"/><Relationship Id="rId36" Type="http://schemas.openxmlformats.org/officeDocument/2006/relationships/hyperlink" Target="https://moneybird.com/238154821397382597/documents/439898127647901188" TargetMode="External"/><Relationship Id="rId49" Type="http://schemas.openxmlformats.org/officeDocument/2006/relationships/hyperlink" Target="https://moneybird.com/238154821397382597/documents/444082634814916261" TargetMode="External"/><Relationship Id="rId57" Type="http://schemas.openxmlformats.org/officeDocument/2006/relationships/hyperlink" Target="https://moneybird.com/238154821397382597/documents/440809844560103179" TargetMode="External"/><Relationship Id="rId10" Type="http://schemas.openxmlformats.org/officeDocument/2006/relationships/hyperlink" Target="https://moneybird.com/238154821397382597/documents/435008926186997354" TargetMode="External"/><Relationship Id="rId31" Type="http://schemas.openxmlformats.org/officeDocument/2006/relationships/hyperlink" Target="https://moneybird.com/238154821397382597/documents/439180058645497223" TargetMode="External"/><Relationship Id="rId44" Type="http://schemas.openxmlformats.org/officeDocument/2006/relationships/hyperlink" Target="https://moneybird.com/238154821397382597/documents/446087872331646017" TargetMode="External"/><Relationship Id="rId52" Type="http://schemas.openxmlformats.org/officeDocument/2006/relationships/hyperlink" Target="https://moneybird.com/238154821397382597/documents/443190594928379882" TargetMode="External"/><Relationship Id="rId60" Type="http://schemas.openxmlformats.org/officeDocument/2006/relationships/hyperlink" Target="https://moneybird.com/238154821397382597/documents/444338227130664124" TargetMode="External"/><Relationship Id="rId65" Type="http://schemas.openxmlformats.org/officeDocument/2006/relationships/hyperlink" Target="https://moneybird.com/238154821397382597/documents/453790531291448772" TargetMode="External"/><Relationship Id="rId4" Type="http://schemas.openxmlformats.org/officeDocument/2006/relationships/hyperlink" Target="https://moneybird.com/238154821397382597/documents/434657966580303409" TargetMode="External"/><Relationship Id="rId9" Type="http://schemas.openxmlformats.org/officeDocument/2006/relationships/hyperlink" Target="https://moneybird.com/238154821397382597/documents/437004518837716832" TargetMode="External"/><Relationship Id="rId13" Type="http://schemas.openxmlformats.org/officeDocument/2006/relationships/hyperlink" Target="https://moneybird.com/238154821397382597/documents/438185696258163847" TargetMode="External"/><Relationship Id="rId18" Type="http://schemas.openxmlformats.org/officeDocument/2006/relationships/hyperlink" Target="https://moneybird.com/238154821397382597/documents/439459159586375068" TargetMode="External"/><Relationship Id="rId39" Type="http://schemas.openxmlformats.org/officeDocument/2006/relationships/hyperlink" Target="https://moneybird.com/238154821397382597/documents/439826760138229335" TargetMode="External"/><Relationship Id="rId34" Type="http://schemas.openxmlformats.org/officeDocument/2006/relationships/hyperlink" Target="https://moneybird.com/238154821397382597/documents/438989749204551282" TargetMode="External"/><Relationship Id="rId50" Type="http://schemas.openxmlformats.org/officeDocument/2006/relationships/hyperlink" Target="https://moneybird.com/238154821397382597/documents/443365361520215370" TargetMode="External"/><Relationship Id="rId55" Type="http://schemas.openxmlformats.org/officeDocument/2006/relationships/hyperlink" Target="https://moneybird.com/238154821397382597/documents/44009775965510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6A42-A944-D743-A961-0472102A5861}">
  <sheetPr>
    <tabColor theme="8" tint="0.39997558519241921"/>
  </sheetPr>
  <dimension ref="A1:E28"/>
  <sheetViews>
    <sheetView topLeftCell="A21" zoomScale="159" workbookViewId="0">
      <selection activeCell="B6" sqref="B6"/>
    </sheetView>
  </sheetViews>
  <sheetFormatPr baseColWidth="10" defaultColWidth="11.5" defaultRowHeight="15" x14ac:dyDescent="0.2"/>
  <cols>
    <col min="1" max="1" width="37.5" customWidth="1"/>
    <col min="2" max="2" width="67.5" customWidth="1"/>
  </cols>
  <sheetData>
    <row r="1" spans="1:5" x14ac:dyDescent="0.2">
      <c r="A1" s="668" t="s">
        <v>0</v>
      </c>
      <c r="B1" s="669"/>
    </row>
    <row r="2" spans="1:5" x14ac:dyDescent="0.2">
      <c r="A2" s="669"/>
      <c r="B2" s="669"/>
    </row>
    <row r="3" spans="1:5" x14ac:dyDescent="0.2">
      <c r="A3" s="669"/>
      <c r="B3" s="669"/>
    </row>
    <row r="4" spans="1:5" x14ac:dyDescent="0.2">
      <c r="A4" s="96"/>
      <c r="B4" s="96"/>
    </row>
    <row r="5" spans="1:5" ht="26" x14ac:dyDescent="0.4">
      <c r="A5" s="670" t="s">
        <v>1</v>
      </c>
      <c r="B5" s="671"/>
    </row>
    <row r="6" spans="1:5" x14ac:dyDescent="0.2">
      <c r="A6" s="259" t="s">
        <v>2</v>
      </c>
      <c r="B6" s="260" t="s">
        <v>3</v>
      </c>
    </row>
    <row r="7" spans="1:5" x14ac:dyDescent="0.2">
      <c r="A7" s="261" t="s">
        <v>4</v>
      </c>
      <c r="B7" s="262"/>
    </row>
    <row r="8" spans="1:5" x14ac:dyDescent="0.2">
      <c r="A8" s="263" t="s">
        <v>5</v>
      </c>
      <c r="B8" s="387" t="s">
        <v>6</v>
      </c>
    </row>
    <row r="9" spans="1:5" x14ac:dyDescent="0.2">
      <c r="A9" s="261" t="s">
        <v>7</v>
      </c>
      <c r="B9" s="262" t="s">
        <v>8</v>
      </c>
    </row>
    <row r="10" spans="1:5" x14ac:dyDescent="0.2">
      <c r="A10" s="264" t="s">
        <v>9</v>
      </c>
      <c r="B10" s="388" t="s">
        <v>10</v>
      </c>
    </row>
    <row r="11" spans="1:5" x14ac:dyDescent="0.2">
      <c r="A11" s="261" t="s">
        <v>11</v>
      </c>
      <c r="B11" s="266" t="s">
        <v>12</v>
      </c>
    </row>
    <row r="12" spans="1:5" x14ac:dyDescent="0.2">
      <c r="A12" s="264" t="s">
        <v>13</v>
      </c>
      <c r="B12" s="265" t="s">
        <v>14</v>
      </c>
    </row>
    <row r="13" spans="1:5" x14ac:dyDescent="0.2">
      <c r="A13" s="261" t="s">
        <v>15</v>
      </c>
      <c r="B13" s="266" t="s">
        <v>16</v>
      </c>
    </row>
    <row r="14" spans="1:5" x14ac:dyDescent="0.2">
      <c r="A14" s="261" t="s">
        <v>17</v>
      </c>
      <c r="B14" s="266" t="s">
        <v>18</v>
      </c>
    </row>
    <row r="15" spans="1:5" x14ac:dyDescent="0.2">
      <c r="A15" s="261" t="s">
        <v>19</v>
      </c>
      <c r="B15" s="266" t="s">
        <v>20</v>
      </c>
      <c r="E15" s="220"/>
    </row>
    <row r="16" spans="1:5" x14ac:dyDescent="0.2">
      <c r="A16" s="261" t="s">
        <v>21</v>
      </c>
      <c r="B16" s="266" t="s">
        <v>22</v>
      </c>
    </row>
    <row r="17" spans="1:2" x14ac:dyDescent="0.2">
      <c r="A17" s="261" t="s">
        <v>23</v>
      </c>
      <c r="B17" s="266" t="s">
        <v>24</v>
      </c>
    </row>
    <row r="18" spans="1:2" x14ac:dyDescent="0.2">
      <c r="A18" s="264" t="s">
        <v>25</v>
      </c>
      <c r="B18" s="265" t="s">
        <v>26</v>
      </c>
    </row>
    <row r="19" spans="1:2" x14ac:dyDescent="0.2">
      <c r="A19" s="264" t="s">
        <v>27</v>
      </c>
      <c r="B19" s="265" t="s">
        <v>28</v>
      </c>
    </row>
    <row r="20" spans="1:2" x14ac:dyDescent="0.2">
      <c r="A20" s="261" t="s">
        <v>29</v>
      </c>
      <c r="B20" s="266" t="s">
        <v>30</v>
      </c>
    </row>
    <row r="21" spans="1:2" x14ac:dyDescent="0.2">
      <c r="A21" s="264" t="s">
        <v>31</v>
      </c>
      <c r="B21" s="265" t="s">
        <v>32</v>
      </c>
    </row>
    <row r="22" spans="1:2" x14ac:dyDescent="0.2">
      <c r="A22" s="261" t="s">
        <v>33</v>
      </c>
      <c r="B22" s="266" t="s">
        <v>34</v>
      </c>
    </row>
    <row r="23" spans="1:2" x14ac:dyDescent="0.2">
      <c r="A23" s="267" t="s">
        <v>35</v>
      </c>
      <c r="B23" s="265" t="s">
        <v>36</v>
      </c>
    </row>
    <row r="24" spans="1:2" x14ac:dyDescent="0.2">
      <c r="A24" s="264" t="s">
        <v>37</v>
      </c>
      <c r="B24" s="265" t="s">
        <v>38</v>
      </c>
    </row>
    <row r="25" spans="1:2" x14ac:dyDescent="0.2">
      <c r="A25" s="261" t="s">
        <v>39</v>
      </c>
      <c r="B25" s="266" t="s">
        <v>40</v>
      </c>
    </row>
    <row r="26" spans="1:2" x14ac:dyDescent="0.2">
      <c r="A26" s="261" t="s">
        <v>41</v>
      </c>
      <c r="B26" s="266" t="s">
        <v>42</v>
      </c>
    </row>
    <row r="27" spans="1:2" x14ac:dyDescent="0.2">
      <c r="A27" s="261" t="s">
        <v>43</v>
      </c>
      <c r="B27" s="266" t="s">
        <v>44</v>
      </c>
    </row>
    <row r="28" spans="1:2" x14ac:dyDescent="0.2">
      <c r="A28" s="261" t="s">
        <v>45</v>
      </c>
      <c r="B28" s="266" t="s">
        <v>46</v>
      </c>
    </row>
  </sheetData>
  <mergeCells count="2">
    <mergeCell ref="A1:B3"/>
    <mergeCell ref="A5:B5"/>
  </mergeCell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S73"/>
  <sheetViews>
    <sheetView zoomScale="59" zoomScaleNormal="236" zoomScalePageLayoutView="33" workbookViewId="0">
      <pane xSplit="2" ySplit="2" topLeftCell="C34" activePane="bottomRight" state="frozen"/>
      <selection pane="topRight"/>
      <selection pane="bottomLeft" activeCell="G39" sqref="G39"/>
      <selection pane="bottomRight" activeCell="I58" sqref="I58"/>
    </sheetView>
  </sheetViews>
  <sheetFormatPr baseColWidth="10" defaultColWidth="53.83203125" defaultRowHeight="28" customHeight="1" x14ac:dyDescent="0.3"/>
  <cols>
    <col min="1" max="1" width="14" style="9" customWidth="1"/>
    <col min="2" max="2" width="55.5" style="9" customWidth="1"/>
    <col min="3" max="3" width="25.83203125" style="9" customWidth="1"/>
    <col min="4" max="4" width="28.1640625" style="9" customWidth="1"/>
    <col min="5" max="5" width="30.1640625" style="9" customWidth="1"/>
    <col min="6" max="6" width="37.83203125" style="9" customWidth="1"/>
    <col min="7" max="7" width="28.1640625" style="9" customWidth="1"/>
    <col min="8" max="10" width="25.83203125" style="9" customWidth="1"/>
    <col min="11" max="11" width="32.1640625" style="9" customWidth="1"/>
    <col min="12" max="12" width="25.83203125" style="9" customWidth="1"/>
    <col min="13" max="13" width="37" style="9" customWidth="1"/>
    <col min="14" max="16384" width="53.83203125" style="9"/>
  </cols>
  <sheetData>
    <row r="1" spans="1:13" ht="28" customHeight="1" x14ac:dyDescent="0.3">
      <c r="A1" s="677" t="s">
        <v>1091</v>
      </c>
      <c r="B1" s="676" t="s">
        <v>7347</v>
      </c>
      <c r="C1" s="674" t="s">
        <v>7348</v>
      </c>
      <c r="D1" s="674"/>
      <c r="E1" s="674"/>
      <c r="F1" s="674"/>
      <c r="G1" s="674"/>
      <c r="H1" s="674"/>
      <c r="I1" s="675" t="s">
        <v>7349</v>
      </c>
      <c r="J1" s="675"/>
      <c r="K1" s="675"/>
      <c r="L1" s="675"/>
      <c r="M1" s="675"/>
    </row>
    <row r="2" spans="1:13" ht="28" customHeight="1" x14ac:dyDescent="0.3">
      <c r="A2" s="677"/>
      <c r="B2" s="676"/>
      <c r="C2" s="314" t="s">
        <v>7350</v>
      </c>
      <c r="D2" s="315" t="s">
        <v>7351</v>
      </c>
      <c r="E2" s="316" t="s">
        <v>7352</v>
      </c>
      <c r="F2" s="317" t="s">
        <v>7353</v>
      </c>
      <c r="G2" s="318" t="s">
        <v>7354</v>
      </c>
      <c r="H2" s="308" t="s">
        <v>7355</v>
      </c>
      <c r="I2" s="309" t="s">
        <v>7350</v>
      </c>
      <c r="J2" s="310" t="s">
        <v>7353</v>
      </c>
      <c r="K2" s="313" t="s">
        <v>7354</v>
      </c>
      <c r="L2" s="311" t="s">
        <v>7355</v>
      </c>
      <c r="M2" s="312" t="s">
        <v>7356</v>
      </c>
    </row>
    <row r="3" spans="1:13" ht="28" customHeight="1" x14ac:dyDescent="0.3">
      <c r="A3" s="334"/>
      <c r="B3" s="396" t="s">
        <v>7357</v>
      </c>
      <c r="C3" s="209">
        <f>Awareness!C7</f>
        <v>50</v>
      </c>
      <c r="D3" s="149">
        <f>Awareness!D7</f>
        <v>0</v>
      </c>
      <c r="E3" s="209">
        <f>Awareness!E7</f>
        <v>0</v>
      </c>
      <c r="F3" s="209">
        <f>Awareness!F7</f>
        <v>0</v>
      </c>
      <c r="G3" s="209">
        <f>Awareness!G7</f>
        <v>40</v>
      </c>
      <c r="H3" s="374">
        <f>F3+G3-C3</f>
        <v>-10</v>
      </c>
      <c r="I3" s="499">
        <f>Awareness!I7</f>
        <v>-15.27</v>
      </c>
      <c r="J3" s="209">
        <f>Awareness!J7</f>
        <v>0</v>
      </c>
      <c r="K3" s="209">
        <f>Awareness!K7</f>
        <v>0</v>
      </c>
      <c r="L3" s="374">
        <f>J3+K3+I3</f>
        <v>-15.27</v>
      </c>
      <c r="M3" s="175">
        <f>L3-H3</f>
        <v>-5.27</v>
      </c>
    </row>
    <row r="4" spans="1:13" ht="28" customHeight="1" x14ac:dyDescent="0.3">
      <c r="A4" s="334"/>
      <c r="B4" s="396" t="s">
        <v>7358</v>
      </c>
      <c r="C4" s="209">
        <f>Awareness!C11</f>
        <v>0</v>
      </c>
      <c r="D4" s="149">
        <f>Awareness!D11</f>
        <v>0</v>
      </c>
      <c r="E4" s="209">
        <f>Awareness!E11</f>
        <v>0</v>
      </c>
      <c r="F4" s="209">
        <f>Awareness!F11</f>
        <v>0</v>
      </c>
      <c r="G4" s="209">
        <f>Awareness!G11</f>
        <v>0</v>
      </c>
      <c r="H4" s="374">
        <f>F4+G4-C4</f>
        <v>0</v>
      </c>
      <c r="I4" s="499">
        <f>Awareness!I11</f>
        <v>0</v>
      </c>
      <c r="J4" s="209">
        <f>Awareness!J11</f>
        <v>0</v>
      </c>
      <c r="K4" s="209">
        <f>Awareness!K11</f>
        <v>0</v>
      </c>
      <c r="L4" s="374">
        <f t="shared" ref="L4:L56" si="0">J4+K4+I4</f>
        <v>0</v>
      </c>
      <c r="M4" s="175">
        <f t="shared" ref="M4:M5" si="1">L4-H4</f>
        <v>0</v>
      </c>
    </row>
    <row r="5" spans="1:13" ht="28" customHeight="1" x14ac:dyDescent="0.3">
      <c r="A5" s="334"/>
      <c r="B5" s="396" t="s">
        <v>7359</v>
      </c>
      <c r="C5" s="209">
        <f>Awareness!C9</f>
        <v>100</v>
      </c>
      <c r="D5" s="149">
        <f>Awareness!D9</f>
        <v>0</v>
      </c>
      <c r="E5" s="209">
        <f>Awareness!E9</f>
        <v>0</v>
      </c>
      <c r="F5" s="209">
        <f>Awareness!F9</f>
        <v>0</v>
      </c>
      <c r="G5" s="209">
        <f>Awareness!G9</f>
        <v>80</v>
      </c>
      <c r="H5" s="374">
        <f t="shared" ref="H5:H15" si="2">F5+G5-C5</f>
        <v>-20</v>
      </c>
      <c r="I5" s="499">
        <f>Awareness!I9</f>
        <v>-97</v>
      </c>
      <c r="J5" s="499">
        <f>Awareness!J9</f>
        <v>0</v>
      </c>
      <c r="K5" s="499">
        <f>Awareness!K9</f>
        <v>0</v>
      </c>
      <c r="L5" s="374">
        <f t="shared" si="0"/>
        <v>-97</v>
      </c>
      <c r="M5" s="175">
        <f t="shared" si="1"/>
        <v>-77</v>
      </c>
    </row>
    <row r="6" spans="1:13" ht="28" customHeight="1" x14ac:dyDescent="0.3">
      <c r="A6" s="334"/>
      <c r="B6" s="396" t="s">
        <v>7360</v>
      </c>
      <c r="C6" s="209">
        <f>Awareness!C14</f>
        <v>50</v>
      </c>
      <c r="D6" s="149">
        <f>Awareness!D14</f>
        <v>0</v>
      </c>
      <c r="E6" s="209">
        <f>Awareness!E14</f>
        <v>0</v>
      </c>
      <c r="F6" s="209">
        <f>Awareness!F14</f>
        <v>0</v>
      </c>
      <c r="G6" s="209">
        <f>Awareness!G14</f>
        <v>25</v>
      </c>
      <c r="H6" s="374">
        <f t="shared" si="2"/>
        <v>-25</v>
      </c>
      <c r="I6" s="499">
        <f>Awareness!I14</f>
        <v>-18.329999999999998</v>
      </c>
      <c r="J6" s="499">
        <f>Awareness!J14</f>
        <v>0</v>
      </c>
      <c r="K6" s="499">
        <f>Awareness!K14</f>
        <v>0</v>
      </c>
      <c r="L6" s="374">
        <f t="shared" si="0"/>
        <v>-18.329999999999998</v>
      </c>
      <c r="M6" s="175">
        <f t="shared" ref="M6:M37" si="3">L6-H6</f>
        <v>6.6700000000000017</v>
      </c>
    </row>
    <row r="7" spans="1:13" ht="28" customHeight="1" x14ac:dyDescent="0.3">
      <c r="A7" s="334"/>
      <c r="B7" s="396" t="s">
        <v>7361</v>
      </c>
      <c r="C7" s="209">
        <f>Awareness!C17</f>
        <v>0</v>
      </c>
      <c r="D7" s="149">
        <f>Awareness!D17</f>
        <v>0</v>
      </c>
      <c r="E7" s="209">
        <f>Awareness!E17</f>
        <v>0</v>
      </c>
      <c r="F7" s="209">
        <f>Awareness!F17</f>
        <v>0</v>
      </c>
      <c r="G7" s="209">
        <f>Awareness!G17</f>
        <v>0</v>
      </c>
      <c r="H7" s="374">
        <f t="shared" si="2"/>
        <v>0</v>
      </c>
      <c r="I7" s="499">
        <f>Awareness!I17</f>
        <v>0</v>
      </c>
      <c r="J7" s="499">
        <f>Awareness!J17</f>
        <v>0</v>
      </c>
      <c r="K7" s="499">
        <f>Awareness!K17</f>
        <v>0</v>
      </c>
      <c r="L7" s="374">
        <f t="shared" si="0"/>
        <v>0</v>
      </c>
      <c r="M7" s="175">
        <f t="shared" si="3"/>
        <v>0</v>
      </c>
    </row>
    <row r="8" spans="1:13" ht="28" customHeight="1" x14ac:dyDescent="0.3">
      <c r="A8" s="334"/>
      <c r="B8" s="653" t="s">
        <v>7362</v>
      </c>
      <c r="C8" s="209">
        <f>Awareness!C19</f>
        <v>30</v>
      </c>
      <c r="D8" s="149">
        <f>Awareness!D19</f>
        <v>0</v>
      </c>
      <c r="E8" s="209">
        <f>Awareness!E19</f>
        <v>0</v>
      </c>
      <c r="F8" s="209">
        <f>Awareness!F19</f>
        <v>0</v>
      </c>
      <c r="G8" s="209">
        <f>Awareness!G19</f>
        <v>30</v>
      </c>
      <c r="H8" s="374">
        <f t="shared" si="2"/>
        <v>0</v>
      </c>
      <c r="I8" s="499">
        <f>Awareness!I19</f>
        <v>0</v>
      </c>
      <c r="J8" s="499">
        <f>Awareness!J19</f>
        <v>0</v>
      </c>
      <c r="K8" s="499">
        <f>Awareness!K19</f>
        <v>0</v>
      </c>
      <c r="L8" s="374">
        <f t="shared" si="0"/>
        <v>0</v>
      </c>
      <c r="M8" s="175">
        <f t="shared" si="3"/>
        <v>0</v>
      </c>
    </row>
    <row r="9" spans="1:13" ht="28" customHeight="1" x14ac:dyDescent="0.3">
      <c r="A9" s="334"/>
      <c r="B9" s="396" t="s">
        <v>7363</v>
      </c>
      <c r="C9" s="209">
        <f>Awareness!C22</f>
        <v>1875</v>
      </c>
      <c r="D9" s="149">
        <f>Awareness!D22</f>
        <v>25</v>
      </c>
      <c r="E9" s="209">
        <f>Awareness!E22</f>
        <v>0</v>
      </c>
      <c r="F9" s="209">
        <f>Awareness!F22</f>
        <v>1250</v>
      </c>
      <c r="G9" s="209">
        <f>Awareness!G22</f>
        <v>600</v>
      </c>
      <c r="H9" s="374">
        <f t="shared" si="2"/>
        <v>-25</v>
      </c>
      <c r="I9" s="499">
        <f>Awareness!I22</f>
        <v>-625</v>
      </c>
      <c r="J9" s="499">
        <f>Awareness!J22</f>
        <v>0</v>
      </c>
      <c r="K9" s="499">
        <f>Awareness!K22</f>
        <v>600</v>
      </c>
      <c r="L9" s="374">
        <f t="shared" si="0"/>
        <v>-25</v>
      </c>
      <c r="M9" s="175">
        <f t="shared" si="3"/>
        <v>0</v>
      </c>
    </row>
    <row r="10" spans="1:13" ht="28" customHeight="1" x14ac:dyDescent="0.3">
      <c r="A10" s="334"/>
      <c r="B10" s="396" t="s">
        <v>7364</v>
      </c>
      <c r="C10" s="209">
        <f>Awareness!C28</f>
        <v>100</v>
      </c>
      <c r="D10" s="149">
        <f>Awareness!D28</f>
        <v>50</v>
      </c>
      <c r="E10" s="209">
        <f>Awareness!E26</f>
        <v>0</v>
      </c>
      <c r="F10" s="209">
        <f>Awareness!F28</f>
        <v>0</v>
      </c>
      <c r="G10" s="209">
        <f>Awareness!G28</f>
        <v>30</v>
      </c>
      <c r="H10" s="374">
        <f t="shared" si="2"/>
        <v>-70</v>
      </c>
      <c r="I10" s="499">
        <f>Awareness!I28</f>
        <v>-29.56</v>
      </c>
      <c r="J10" s="209">
        <f>Awareness!J28</f>
        <v>0</v>
      </c>
      <c r="K10" s="209">
        <f>Awareness!K28</f>
        <v>0</v>
      </c>
      <c r="L10" s="374">
        <f t="shared" si="0"/>
        <v>-29.56</v>
      </c>
      <c r="M10" s="175">
        <f t="shared" si="3"/>
        <v>40.44</v>
      </c>
    </row>
    <row r="11" spans="1:13" ht="28" customHeight="1" x14ac:dyDescent="0.3">
      <c r="A11" s="335"/>
      <c r="B11" s="396" t="s">
        <v>7365</v>
      </c>
      <c r="C11" s="209">
        <f>Academic!C6</f>
        <v>250</v>
      </c>
      <c r="D11" s="149">
        <f>Academic!D6</f>
        <v>0</v>
      </c>
      <c r="E11" s="209">
        <f>Academic!E6</f>
        <v>0</v>
      </c>
      <c r="F11" s="209">
        <f>Academic!F6</f>
        <v>0</v>
      </c>
      <c r="G11" s="209">
        <f>Academic!G6</f>
        <v>240</v>
      </c>
      <c r="H11" s="374">
        <f t="shared" si="2"/>
        <v>-10</v>
      </c>
      <c r="I11" s="499">
        <f>Academic!I6</f>
        <v>-119.66000000000001</v>
      </c>
      <c r="J11" s="209">
        <f>Academic!J6</f>
        <v>0</v>
      </c>
      <c r="K11" s="209">
        <f>Academic!K6</f>
        <v>0</v>
      </c>
      <c r="L11" s="374">
        <f t="shared" si="0"/>
        <v>-119.66000000000001</v>
      </c>
      <c r="M11" s="175">
        <f t="shared" si="3"/>
        <v>-109.66000000000001</v>
      </c>
    </row>
    <row r="12" spans="1:13" ht="28" customHeight="1" x14ac:dyDescent="0.3">
      <c r="A12" s="335"/>
      <c r="B12" s="653" t="s">
        <v>7366</v>
      </c>
      <c r="C12" s="209">
        <f>Academic!C10</f>
        <v>0</v>
      </c>
      <c r="D12" s="149">
        <f>Academic!D10</f>
        <v>0</v>
      </c>
      <c r="E12" s="209">
        <f>Academic!E10</f>
        <v>0</v>
      </c>
      <c r="F12" s="209">
        <f>Academic!F10</f>
        <v>0</v>
      </c>
      <c r="G12" s="209">
        <f>Academic!G10</f>
        <v>0</v>
      </c>
      <c r="H12" s="374">
        <f t="shared" si="2"/>
        <v>0</v>
      </c>
      <c r="I12" s="209">
        <f>Academic!I10</f>
        <v>0</v>
      </c>
      <c r="J12" s="209">
        <f>Academic!J10</f>
        <v>0</v>
      </c>
      <c r="K12" s="499">
        <f>Academic!K10</f>
        <v>0</v>
      </c>
      <c r="L12" s="374">
        <f t="shared" si="0"/>
        <v>0</v>
      </c>
      <c r="M12" s="175">
        <f t="shared" si="3"/>
        <v>0</v>
      </c>
    </row>
    <row r="13" spans="1:13" ht="28" customHeight="1" x14ac:dyDescent="0.3">
      <c r="A13" s="335"/>
      <c r="B13" s="396" t="s">
        <v>7367</v>
      </c>
      <c r="C13" s="127">
        <f>Academic!C15</f>
        <v>1422</v>
      </c>
      <c r="D13" s="149">
        <f>Academic!D15</f>
        <v>185</v>
      </c>
      <c r="E13" s="209">
        <f>Academic!E15</f>
        <v>0</v>
      </c>
      <c r="F13" s="209">
        <f>Academic!F15</f>
        <v>0</v>
      </c>
      <c r="G13" s="209">
        <f>Academic!G15</f>
        <v>1417</v>
      </c>
      <c r="H13" s="374">
        <f t="shared" si="2"/>
        <v>-5</v>
      </c>
      <c r="I13" s="209">
        <f>Academic!I15</f>
        <v>-1422.1</v>
      </c>
      <c r="J13" s="209">
        <f>Academic!J15</f>
        <v>0</v>
      </c>
      <c r="K13" s="499">
        <f>Academic!K15</f>
        <v>1417.1</v>
      </c>
      <c r="L13" s="374">
        <f t="shared" si="0"/>
        <v>-5</v>
      </c>
      <c r="M13" s="175">
        <f t="shared" si="3"/>
        <v>0</v>
      </c>
    </row>
    <row r="14" spans="1:13" ht="28" customHeight="1" x14ac:dyDescent="0.3">
      <c r="A14" s="335" t="s">
        <v>7368</v>
      </c>
      <c r="B14" s="396" t="s">
        <v>7369</v>
      </c>
      <c r="C14" s="209">
        <f>Academic!C19</f>
        <v>1632</v>
      </c>
      <c r="D14" s="149">
        <f>Academic!D19</f>
        <v>50</v>
      </c>
      <c r="E14" s="499">
        <f>Academic!E19</f>
        <v>0</v>
      </c>
      <c r="F14" s="209">
        <f>Academic!F19</f>
        <v>145</v>
      </c>
      <c r="G14" s="209">
        <f>Academic!G19</f>
        <v>1500</v>
      </c>
      <c r="H14" s="374">
        <f t="shared" si="2"/>
        <v>13</v>
      </c>
      <c r="I14" s="209">
        <f>Academic!I19</f>
        <v>-1080</v>
      </c>
      <c r="J14" s="209">
        <f>Academic!J19</f>
        <v>76.36999999999999</v>
      </c>
      <c r="K14" s="499">
        <f>Academic!K19</f>
        <v>1100</v>
      </c>
      <c r="L14" s="374">
        <f t="shared" si="0"/>
        <v>96.369999999999891</v>
      </c>
      <c r="M14" s="175">
        <f t="shared" si="3"/>
        <v>83.369999999999891</v>
      </c>
    </row>
    <row r="15" spans="1:13" ht="28" customHeight="1" x14ac:dyDescent="0.3">
      <c r="A15" s="335"/>
      <c r="B15" s="396" t="s">
        <v>7370</v>
      </c>
      <c r="C15" s="209">
        <f>Academic!C24</f>
        <v>65</v>
      </c>
      <c r="D15" s="149">
        <f>Academic!D24</f>
        <v>30</v>
      </c>
      <c r="E15" s="499">
        <f>Academic!E24</f>
        <v>0</v>
      </c>
      <c r="F15" s="209">
        <f>Academic!F24</f>
        <v>70</v>
      </c>
      <c r="G15" s="209">
        <f>Academic!G24</f>
        <v>0</v>
      </c>
      <c r="H15" s="374">
        <f t="shared" si="2"/>
        <v>5</v>
      </c>
      <c r="I15" s="209">
        <f>Academic!I24</f>
        <v>0</v>
      </c>
      <c r="J15" s="209">
        <f>Academic!J24</f>
        <v>0</v>
      </c>
      <c r="K15" s="499">
        <f>Academic!K24</f>
        <v>0</v>
      </c>
      <c r="L15" s="374">
        <f t="shared" si="0"/>
        <v>0</v>
      </c>
      <c r="M15" s="175">
        <f t="shared" si="3"/>
        <v>-5</v>
      </c>
    </row>
    <row r="16" spans="1:13" ht="28" customHeight="1" x14ac:dyDescent="0.3">
      <c r="A16" s="335"/>
      <c r="B16" s="396" t="s">
        <v>7371</v>
      </c>
      <c r="C16" s="209">
        <f>Academic!C29</f>
        <v>160</v>
      </c>
      <c r="D16" s="149">
        <f>Academic!D29</f>
        <v>35</v>
      </c>
      <c r="E16" s="499">
        <f>Academic!E29</f>
        <v>0</v>
      </c>
      <c r="F16" s="209">
        <f>Academic!F29</f>
        <v>150</v>
      </c>
      <c r="G16" s="209">
        <f>Academic!G29</f>
        <v>0</v>
      </c>
      <c r="H16" s="374">
        <f t="shared" ref="H16:H56" si="4">F16+G16-C16</f>
        <v>-10</v>
      </c>
      <c r="I16" s="209">
        <f>Academic!I29</f>
        <v>-265</v>
      </c>
      <c r="J16" s="209">
        <f>Academic!J29</f>
        <v>90.71999999999997</v>
      </c>
      <c r="K16" s="499">
        <f>Academic!K29</f>
        <v>0</v>
      </c>
      <c r="L16" s="374">
        <f t="shared" si="0"/>
        <v>-174.28000000000003</v>
      </c>
      <c r="M16" s="175">
        <f t="shared" si="3"/>
        <v>-164.28000000000003</v>
      </c>
    </row>
    <row r="17" spans="1:17" ht="28" customHeight="1" x14ac:dyDescent="0.3">
      <c r="A17" s="335"/>
      <c r="B17" s="396" t="s">
        <v>7372</v>
      </c>
      <c r="C17" s="209">
        <f>Academic!C37</f>
        <v>245</v>
      </c>
      <c r="D17" s="149">
        <f>Awareness!D37</f>
        <v>0</v>
      </c>
      <c r="E17" s="499">
        <f>Academic!E37</f>
        <v>0</v>
      </c>
      <c r="F17" s="209">
        <f>Academic!F37</f>
        <v>0</v>
      </c>
      <c r="G17" s="209">
        <f>Academic!G37</f>
        <v>210</v>
      </c>
      <c r="H17" s="374">
        <f t="shared" si="4"/>
        <v>-35</v>
      </c>
      <c r="I17" s="209">
        <f>Academic!I37</f>
        <v>-84.9</v>
      </c>
      <c r="J17" s="209">
        <f>Academic!J37</f>
        <v>0</v>
      </c>
      <c r="K17" s="499">
        <f>Academic!K37</f>
        <v>0</v>
      </c>
      <c r="L17" s="374">
        <f t="shared" si="0"/>
        <v>-84.9</v>
      </c>
      <c r="M17" s="175">
        <f t="shared" si="3"/>
        <v>-49.900000000000006</v>
      </c>
    </row>
    <row r="18" spans="1:17" ht="28" customHeight="1" x14ac:dyDescent="0.3">
      <c r="A18" s="335"/>
      <c r="B18" s="396" t="s">
        <v>7373</v>
      </c>
      <c r="C18" s="209">
        <f>Academic!C41</f>
        <v>1400</v>
      </c>
      <c r="D18" s="149">
        <f>Awareness!D41</f>
        <v>0</v>
      </c>
      <c r="E18" s="499">
        <f>Academic!E41</f>
        <v>14</v>
      </c>
      <c r="F18" s="209">
        <f>Academic!F41</f>
        <v>310</v>
      </c>
      <c r="G18" s="209">
        <f>Academic!G41</f>
        <v>1100</v>
      </c>
      <c r="H18" s="374">
        <f t="shared" si="4"/>
        <v>10</v>
      </c>
      <c r="I18" s="209">
        <f>Academic!I41</f>
        <v>-1488.81</v>
      </c>
      <c r="J18" s="209">
        <f>Academic!J41</f>
        <v>357.76000000000016</v>
      </c>
      <c r="K18" s="499">
        <f>Academic!K41</f>
        <v>1200</v>
      </c>
      <c r="L18" s="374">
        <f t="shared" si="0"/>
        <v>68.950000000000273</v>
      </c>
      <c r="M18" s="175">
        <f t="shared" si="3"/>
        <v>58.950000000000273</v>
      </c>
    </row>
    <row r="19" spans="1:17" ht="28" customHeight="1" x14ac:dyDescent="0.3">
      <c r="A19" s="333"/>
      <c r="B19" s="396" t="s">
        <v>7374</v>
      </c>
      <c r="C19" s="209">
        <f>Art!C7</f>
        <v>185</v>
      </c>
      <c r="D19" s="149">
        <f>Art!D7</f>
        <v>0</v>
      </c>
      <c r="E19" s="209">
        <f>Art!E7</f>
        <v>0</v>
      </c>
      <c r="F19" s="209">
        <f>Art!F7</f>
        <v>0</v>
      </c>
      <c r="G19" s="209">
        <f>Art!G7</f>
        <v>145</v>
      </c>
      <c r="H19" s="374">
        <f t="shared" si="4"/>
        <v>-40</v>
      </c>
      <c r="I19" s="209">
        <f>Art!I7</f>
        <v>-99.84</v>
      </c>
      <c r="J19" s="209">
        <f>Art!J7</f>
        <v>0</v>
      </c>
      <c r="K19" s="499">
        <f>Art!K7</f>
        <v>0</v>
      </c>
      <c r="L19" s="374">
        <f t="shared" si="0"/>
        <v>-99.84</v>
      </c>
      <c r="M19" s="175">
        <f t="shared" si="3"/>
        <v>-59.84</v>
      </c>
    </row>
    <row r="20" spans="1:17" ht="28" customHeight="1" x14ac:dyDescent="0.3">
      <c r="A20" s="333"/>
      <c r="B20" s="396" t="s">
        <v>7375</v>
      </c>
      <c r="C20" s="209">
        <f>Art!C13</f>
        <v>175</v>
      </c>
      <c r="D20" s="149">
        <f>Art!D13</f>
        <v>50</v>
      </c>
      <c r="E20" s="209">
        <f>Art!E13</f>
        <v>0</v>
      </c>
      <c r="F20" s="209">
        <f>Art!F13</f>
        <v>210</v>
      </c>
      <c r="G20" s="209">
        <f>Art!G13</f>
        <v>0</v>
      </c>
      <c r="H20" s="374">
        <f t="shared" si="4"/>
        <v>35</v>
      </c>
      <c r="I20" s="209">
        <f>Art!I13</f>
        <v>-76.7</v>
      </c>
      <c r="J20" s="209">
        <f>Art!J13</f>
        <v>46.94</v>
      </c>
      <c r="K20" s="499">
        <f>Art!K13</f>
        <v>0</v>
      </c>
      <c r="L20" s="374">
        <f t="shared" si="0"/>
        <v>-29.760000000000005</v>
      </c>
      <c r="M20" s="175">
        <f t="shared" si="3"/>
        <v>-64.760000000000005</v>
      </c>
    </row>
    <row r="21" spans="1:17" ht="28" customHeight="1" x14ac:dyDescent="0.3">
      <c r="A21" s="333"/>
      <c r="B21" s="396" t="s">
        <v>7376</v>
      </c>
      <c r="C21" s="209">
        <f>Art!C21</f>
        <v>180</v>
      </c>
      <c r="D21" s="149">
        <f>Art!D21</f>
        <v>68</v>
      </c>
      <c r="E21" s="499">
        <f>Art!E21</f>
        <v>0</v>
      </c>
      <c r="F21" s="209">
        <f>Art!F21</f>
        <v>186</v>
      </c>
      <c r="G21" s="209">
        <f>Art!G21</f>
        <v>120</v>
      </c>
      <c r="H21" s="374">
        <f t="shared" si="4"/>
        <v>126</v>
      </c>
      <c r="I21" s="499">
        <f>Art!I21</f>
        <v>-177.93</v>
      </c>
      <c r="J21" s="499">
        <f>Art!J21</f>
        <v>80.579999999999984</v>
      </c>
      <c r="K21" s="499">
        <f>Art!K21</f>
        <v>0</v>
      </c>
      <c r="L21" s="374">
        <f t="shared" si="0"/>
        <v>-97.350000000000023</v>
      </c>
      <c r="M21" s="175">
        <f t="shared" si="3"/>
        <v>-223.35000000000002</v>
      </c>
    </row>
    <row r="22" spans="1:17" ht="28" customHeight="1" x14ac:dyDescent="0.3">
      <c r="A22" s="333"/>
      <c r="B22" s="396" t="s">
        <v>7377</v>
      </c>
      <c r="C22" s="209">
        <f>Art!C27</f>
        <v>583</v>
      </c>
      <c r="D22" s="149">
        <f>Art!D27</f>
        <v>40</v>
      </c>
      <c r="E22" s="499">
        <f>Art!E27</f>
        <v>0</v>
      </c>
      <c r="F22" s="209">
        <f>Art!F27</f>
        <v>290</v>
      </c>
      <c r="G22" s="209">
        <f>Art!G27</f>
        <v>200</v>
      </c>
      <c r="H22" s="374">
        <f t="shared" si="4"/>
        <v>-93</v>
      </c>
      <c r="I22" s="499">
        <f>Art!I27</f>
        <v>-49.85</v>
      </c>
      <c r="J22" s="499">
        <f>Art!J27</f>
        <v>0</v>
      </c>
      <c r="K22" s="499">
        <f>Art!K27</f>
        <v>0</v>
      </c>
      <c r="L22" s="374">
        <f>J22+K22+I22</f>
        <v>-49.85</v>
      </c>
      <c r="M22" s="175">
        <f t="shared" si="3"/>
        <v>43.15</v>
      </c>
      <c r="P22" s="9" t="s">
        <v>7378</v>
      </c>
    </row>
    <row r="23" spans="1:17" ht="28" customHeight="1" x14ac:dyDescent="0.3">
      <c r="A23" s="333"/>
      <c r="B23" s="396" t="s">
        <v>7379</v>
      </c>
      <c r="C23" s="209">
        <f>Art!C36</f>
        <v>140</v>
      </c>
      <c r="D23" s="149">
        <f>Art!D36</f>
        <v>40</v>
      </c>
      <c r="E23" s="499">
        <f>Art!E36</f>
        <v>0</v>
      </c>
      <c r="F23" s="209">
        <f>Art!F36</f>
        <v>67.5</v>
      </c>
      <c r="G23" s="209">
        <f>Art!G36</f>
        <v>90</v>
      </c>
      <c r="H23" s="374">
        <f t="shared" si="4"/>
        <v>17.5</v>
      </c>
      <c r="I23" s="499">
        <f>Art!I36</f>
        <v>-108.28999999999999</v>
      </c>
      <c r="J23" s="499">
        <f>Art!J36</f>
        <v>35.31</v>
      </c>
      <c r="K23" s="499">
        <f>Art!K36</f>
        <v>0</v>
      </c>
      <c r="L23" s="374">
        <f t="shared" si="0"/>
        <v>-72.97999999999999</v>
      </c>
      <c r="M23" s="175">
        <f t="shared" si="3"/>
        <v>-90.47999999999999</v>
      </c>
      <c r="P23" s="9" t="s">
        <v>7380</v>
      </c>
      <c r="Q23" s="9" t="s">
        <v>1092</v>
      </c>
    </row>
    <row r="24" spans="1:17" ht="28" customHeight="1" x14ac:dyDescent="0.3">
      <c r="A24" s="333"/>
      <c r="B24" s="397" t="s">
        <v>7381</v>
      </c>
      <c r="C24" s="209">
        <f>Sports!C10</f>
        <v>50</v>
      </c>
      <c r="D24" s="149">
        <f>Sports!D10</f>
        <v>20</v>
      </c>
      <c r="E24" s="499">
        <f>Sports!E10</f>
        <v>0</v>
      </c>
      <c r="F24" s="209">
        <f>Sports!F10</f>
        <v>50</v>
      </c>
      <c r="G24" s="209">
        <f>Sports!G6</f>
        <v>0</v>
      </c>
      <c r="H24" s="374">
        <f t="shared" si="4"/>
        <v>0</v>
      </c>
      <c r="I24" s="499">
        <f>Sports!I10</f>
        <v>-20</v>
      </c>
      <c r="J24" s="499">
        <f>Sports!J10</f>
        <v>32.370000000000005</v>
      </c>
      <c r="K24" s="499">
        <f>Sports!K10</f>
        <v>0</v>
      </c>
      <c r="L24" s="374">
        <f t="shared" si="0"/>
        <v>12.370000000000005</v>
      </c>
      <c r="M24" s="175">
        <f t="shared" si="3"/>
        <v>12.370000000000005</v>
      </c>
      <c r="P24" s="9" t="s">
        <v>7382</v>
      </c>
      <c r="Q24" s="9">
        <v>233.67</v>
      </c>
    </row>
    <row r="25" spans="1:17" ht="28" customHeight="1" x14ac:dyDescent="0.3">
      <c r="A25" s="333"/>
      <c r="B25" s="397" t="s">
        <v>7383</v>
      </c>
      <c r="C25" s="209">
        <f>Sports!C6</f>
        <v>77</v>
      </c>
      <c r="D25" s="149">
        <f>Sports!D6</f>
        <v>32</v>
      </c>
      <c r="E25" s="209">
        <f>Sports!E6</f>
        <v>0</v>
      </c>
      <c r="F25" s="209">
        <f>Sports!F6</f>
        <v>0</v>
      </c>
      <c r="G25" s="209">
        <f>Sports!G10</f>
        <v>0</v>
      </c>
      <c r="H25" s="374">
        <f t="shared" si="4"/>
        <v>-77</v>
      </c>
      <c r="I25" s="209">
        <f>Sports!I6</f>
        <v>-38.79</v>
      </c>
      <c r="J25" s="209">
        <f>Sports!J6</f>
        <v>0</v>
      </c>
      <c r="K25" s="499">
        <f>Sports!K6</f>
        <v>0</v>
      </c>
      <c r="L25" s="374">
        <f t="shared" si="0"/>
        <v>-38.79</v>
      </c>
      <c r="M25" s="175">
        <f t="shared" si="3"/>
        <v>38.21</v>
      </c>
      <c r="P25" s="9" t="s">
        <v>7384</v>
      </c>
      <c r="Q25" s="9">
        <v>875</v>
      </c>
    </row>
    <row r="26" spans="1:17" ht="28" customHeight="1" x14ac:dyDescent="0.3">
      <c r="A26" s="333"/>
      <c r="B26" s="397" t="s">
        <v>7385</v>
      </c>
      <c r="C26" s="209">
        <f>Sports!C15</f>
        <v>357</v>
      </c>
      <c r="D26" s="149">
        <f>Sports!D15</f>
        <v>40</v>
      </c>
      <c r="E26" s="209">
        <f>Sports!E15</f>
        <v>0</v>
      </c>
      <c r="F26" s="209">
        <f>Sports!F15</f>
        <v>108</v>
      </c>
      <c r="G26" s="209">
        <f>Sports!G15</f>
        <v>300</v>
      </c>
      <c r="H26" s="374">
        <f t="shared" si="4"/>
        <v>51</v>
      </c>
      <c r="I26" s="209">
        <f>Sports!I15</f>
        <v>-294.62</v>
      </c>
      <c r="J26" s="209">
        <f>Sports!J15</f>
        <v>78.579999999999984</v>
      </c>
      <c r="K26" s="499">
        <f>Sports!K15</f>
        <v>0</v>
      </c>
      <c r="L26" s="374">
        <f t="shared" si="0"/>
        <v>-216.04000000000002</v>
      </c>
      <c r="M26" s="175">
        <f t="shared" si="3"/>
        <v>-267.04000000000002</v>
      </c>
      <c r="P26" s="9" t="s">
        <v>7386</v>
      </c>
      <c r="Q26" s="9">
        <v>12.5</v>
      </c>
    </row>
    <row r="27" spans="1:17" ht="28" customHeight="1" x14ac:dyDescent="0.3">
      <c r="A27" s="333"/>
      <c r="B27" s="397" t="s">
        <v>7387</v>
      </c>
      <c r="C27" s="209">
        <f>Sports!C20</f>
        <v>285</v>
      </c>
      <c r="D27" s="149">
        <f>Sports!D20</f>
        <v>50</v>
      </c>
      <c r="E27" s="209">
        <f>Sports!E20</f>
        <v>0</v>
      </c>
      <c r="F27" s="209">
        <f>Sports!F20</f>
        <v>210</v>
      </c>
      <c r="G27" s="209">
        <f>Sports!G20</f>
        <v>0</v>
      </c>
      <c r="H27" s="374">
        <f t="shared" si="4"/>
        <v>-75</v>
      </c>
      <c r="I27" s="499">
        <f>Sports!I20</f>
        <v>-293</v>
      </c>
      <c r="J27" s="499">
        <f>Sports!J20</f>
        <v>182.47</v>
      </c>
      <c r="K27" s="499">
        <f>Sports!K20</f>
        <v>0</v>
      </c>
      <c r="L27" s="640">
        <f>J27+K27+I27</f>
        <v>-110.53</v>
      </c>
      <c r="M27" s="175">
        <f t="shared" si="3"/>
        <v>-35.53</v>
      </c>
      <c r="P27" s="9" t="s">
        <v>7388</v>
      </c>
      <c r="Q27" s="9">
        <v>105.22</v>
      </c>
    </row>
    <row r="28" spans="1:17" ht="28" customHeight="1" x14ac:dyDescent="0.3">
      <c r="A28" s="333"/>
      <c r="B28" s="397" t="s">
        <v>7389</v>
      </c>
      <c r="C28" s="209">
        <f>Sports!C25</f>
        <v>437</v>
      </c>
      <c r="D28" s="149">
        <f>Sports!D25</f>
        <v>45</v>
      </c>
      <c r="E28" s="209">
        <f>Sports!E25</f>
        <v>0</v>
      </c>
      <c r="F28" s="209">
        <f>Sports!F25</f>
        <v>229</v>
      </c>
      <c r="G28" s="209">
        <f>Sports!G25</f>
        <v>200</v>
      </c>
      <c r="H28" s="374">
        <f t="shared" si="4"/>
        <v>-8</v>
      </c>
      <c r="I28" s="499">
        <f>Sports!I25</f>
        <v>-542.5</v>
      </c>
      <c r="J28" s="499">
        <f>Sports!J25</f>
        <v>222.91000000000014</v>
      </c>
      <c r="K28" s="499">
        <f>Sports!K25</f>
        <v>0</v>
      </c>
      <c r="L28" s="640">
        <f t="shared" ref="L28:L29" si="5">J28+K28+I28</f>
        <v>-319.58999999999986</v>
      </c>
      <c r="M28" s="175">
        <f t="shared" si="3"/>
        <v>-311.58999999999986</v>
      </c>
      <c r="P28" s="9" t="s">
        <v>7390</v>
      </c>
      <c r="Q28" s="9">
        <v>116.31</v>
      </c>
    </row>
    <row r="29" spans="1:17" ht="28" customHeight="1" x14ac:dyDescent="0.3">
      <c r="A29" s="333"/>
      <c r="B29" s="397" t="s">
        <v>7391</v>
      </c>
      <c r="C29" s="209">
        <f>Sports!C29</f>
        <v>0</v>
      </c>
      <c r="D29" s="149">
        <f>Sports!D29</f>
        <v>15</v>
      </c>
      <c r="E29" s="209">
        <f>Sports!E29</f>
        <v>0</v>
      </c>
      <c r="F29" s="209">
        <f>Sports!F29</f>
        <v>32</v>
      </c>
      <c r="G29" s="209">
        <f>Sports!G29</f>
        <v>0</v>
      </c>
      <c r="H29" s="374">
        <f t="shared" si="4"/>
        <v>32</v>
      </c>
      <c r="I29" s="499">
        <f>Sports!I29</f>
        <v>-107.18</v>
      </c>
      <c r="J29" s="499">
        <f>Sports!J29</f>
        <v>46.650000000000006</v>
      </c>
      <c r="K29" s="499">
        <f>Sports!K29</f>
        <v>0</v>
      </c>
      <c r="L29" s="640">
        <f t="shared" si="5"/>
        <v>-60.53</v>
      </c>
      <c r="M29" s="175">
        <f t="shared" si="3"/>
        <v>-92.53</v>
      </c>
      <c r="P29" s="9" t="s">
        <v>7392</v>
      </c>
      <c r="Q29" s="9">
        <v>180</v>
      </c>
    </row>
    <row r="30" spans="1:17" ht="28" customHeight="1" x14ac:dyDescent="0.3">
      <c r="A30" s="333"/>
      <c r="B30" s="397" t="s">
        <v>7393</v>
      </c>
      <c r="C30" s="209">
        <f>Sports!C36</f>
        <v>429</v>
      </c>
      <c r="D30" s="149">
        <f>Sports!D36</f>
        <v>40</v>
      </c>
      <c r="E30" s="209">
        <f>Sports!E36</f>
        <v>0</v>
      </c>
      <c r="F30" s="209">
        <f>Sports!F36</f>
        <v>230</v>
      </c>
      <c r="G30" s="209">
        <f>Sports!G36</f>
        <v>0</v>
      </c>
      <c r="H30" s="374">
        <f t="shared" si="4"/>
        <v>-199</v>
      </c>
      <c r="I30" s="209">
        <f>Sports!I36</f>
        <v>-285.95999999999998</v>
      </c>
      <c r="J30" s="209">
        <f>Sports!J36</f>
        <v>228.5</v>
      </c>
      <c r="K30" s="209">
        <f>Sports!K36</f>
        <v>0</v>
      </c>
      <c r="L30" s="374">
        <f t="shared" si="0"/>
        <v>-57.45999999999998</v>
      </c>
      <c r="M30" s="175">
        <f t="shared" si="3"/>
        <v>141.54000000000002</v>
      </c>
      <c r="P30" s="9" t="s">
        <v>7394</v>
      </c>
      <c r="Q30" s="9">
        <v>360</v>
      </c>
    </row>
    <row r="31" spans="1:17" ht="28" customHeight="1" x14ac:dyDescent="0.3">
      <c r="A31" s="333"/>
      <c r="B31" s="654" t="s">
        <v>7395</v>
      </c>
      <c r="C31" s="209">
        <f>Sports!C40</f>
        <v>0</v>
      </c>
      <c r="D31" s="149">
        <f>Sports!D40</f>
        <v>0</v>
      </c>
      <c r="E31" s="209">
        <f>Sports!E40</f>
        <v>0</v>
      </c>
      <c r="F31" s="209">
        <f>Sports!F40</f>
        <v>0</v>
      </c>
      <c r="G31" s="209">
        <f>Sports!G40</f>
        <v>0</v>
      </c>
      <c r="H31" s="374">
        <f t="shared" si="4"/>
        <v>0</v>
      </c>
      <c r="I31" s="209">
        <f>Sports!I40</f>
        <v>0</v>
      </c>
      <c r="J31" s="209">
        <f>Sports!J40</f>
        <v>0</v>
      </c>
      <c r="K31" s="209">
        <f>Sports!K40</f>
        <v>0</v>
      </c>
      <c r="L31" s="374">
        <f t="shared" si="0"/>
        <v>0</v>
      </c>
      <c r="M31" s="175">
        <f t="shared" si="3"/>
        <v>0</v>
      </c>
      <c r="P31" s="9" t="s">
        <v>7396</v>
      </c>
      <c r="Q31" s="9">
        <v>360</v>
      </c>
    </row>
    <row r="32" spans="1:17" ht="28" customHeight="1" x14ac:dyDescent="0.3">
      <c r="A32" s="333"/>
      <c r="B32" s="397" t="s">
        <v>7397</v>
      </c>
      <c r="C32" s="209">
        <f>Sports!C47</f>
        <v>220</v>
      </c>
      <c r="D32" s="149">
        <f>Sports!D47</f>
        <v>30</v>
      </c>
      <c r="E32" s="209">
        <f>Sports!E47</f>
        <v>0</v>
      </c>
      <c r="F32" s="209">
        <f>Sports!F47</f>
        <v>190</v>
      </c>
      <c r="G32" s="209">
        <f>Sports!G47</f>
        <v>135</v>
      </c>
      <c r="H32" s="374">
        <f t="shared" si="4"/>
        <v>105</v>
      </c>
      <c r="I32" s="209">
        <f>Sports!I47</f>
        <v>-187.96</v>
      </c>
      <c r="J32" s="209">
        <f>Sports!J47</f>
        <v>184.45</v>
      </c>
      <c r="K32" s="209">
        <f>Sports!K47</f>
        <v>0</v>
      </c>
      <c r="L32" s="374">
        <f t="shared" si="0"/>
        <v>-3.5100000000000193</v>
      </c>
      <c r="M32" s="175">
        <f t="shared" si="3"/>
        <v>-108.51000000000002</v>
      </c>
      <c r="P32" s="9" t="s">
        <v>7398</v>
      </c>
      <c r="Q32" s="9">
        <v>348.48</v>
      </c>
    </row>
    <row r="33" spans="1:19" ht="28" customHeight="1" x14ac:dyDescent="0.3">
      <c r="A33" s="333"/>
      <c r="B33" s="397" t="s">
        <v>7399</v>
      </c>
      <c r="C33" s="209">
        <f>Party!C8</f>
        <v>965</v>
      </c>
      <c r="D33" s="149">
        <f>Party!D8</f>
        <v>260</v>
      </c>
      <c r="E33" s="209">
        <f>Party!E8</f>
        <v>0</v>
      </c>
      <c r="F33" s="209">
        <f>Party!F8</f>
        <v>1730</v>
      </c>
      <c r="G33" s="209">
        <f>Party!G8</f>
        <v>0</v>
      </c>
      <c r="H33" s="374">
        <f t="shared" si="4"/>
        <v>765</v>
      </c>
      <c r="I33" s="209">
        <f>Party!I8</f>
        <v>-967.44</v>
      </c>
      <c r="J33" s="209">
        <f>Party!J8</f>
        <v>1725.1299999999997</v>
      </c>
      <c r="K33" s="209">
        <f>Party!K8</f>
        <v>0</v>
      </c>
      <c r="L33" s="374">
        <f t="shared" si="0"/>
        <v>757.6899999999996</v>
      </c>
      <c r="M33" s="175">
        <f t="shared" si="3"/>
        <v>-7.3100000000004002</v>
      </c>
      <c r="P33" s="9" t="s">
        <v>7400</v>
      </c>
      <c r="Q33" s="9">
        <v>401.41</v>
      </c>
    </row>
    <row r="34" spans="1:19" ht="28" customHeight="1" x14ac:dyDescent="0.3">
      <c r="A34" s="333"/>
      <c r="B34" s="397" t="s">
        <v>7401</v>
      </c>
      <c r="C34" s="209">
        <f>Party!C15</f>
        <v>1575</v>
      </c>
      <c r="D34" s="149">
        <f>Party!D15</f>
        <v>200</v>
      </c>
      <c r="E34" s="209">
        <f>Party!E15</f>
        <v>0</v>
      </c>
      <c r="F34" s="209">
        <f>Party!F15</f>
        <v>1440</v>
      </c>
      <c r="G34" s="209">
        <f>Party!G15</f>
        <v>0</v>
      </c>
      <c r="H34" s="374">
        <f t="shared" si="4"/>
        <v>-135</v>
      </c>
      <c r="I34" s="209">
        <f>Party!I15</f>
        <v>-1984.5</v>
      </c>
      <c r="J34" s="209">
        <f>Party!J15</f>
        <v>1972.6299999999994</v>
      </c>
      <c r="K34" s="209">
        <f>Party!K15</f>
        <v>0</v>
      </c>
      <c r="L34" s="374">
        <f t="shared" si="0"/>
        <v>-11.870000000000573</v>
      </c>
      <c r="M34" s="175">
        <f t="shared" si="3"/>
        <v>123.12999999999943</v>
      </c>
      <c r="P34" s="9" t="s">
        <v>7402</v>
      </c>
      <c r="Q34" s="9">
        <v>600</v>
      </c>
      <c r="R34" s="9" t="s">
        <v>7403</v>
      </c>
      <c r="S34" s="9">
        <f>Q26+Q27+Q28+Q30+Q29+Q31+Q32+Q33+Q34+Q35+Q36+Q25+Q24</f>
        <v>4362.41</v>
      </c>
    </row>
    <row r="35" spans="1:19" ht="28" customHeight="1" x14ac:dyDescent="0.3">
      <c r="A35" s="333"/>
      <c r="B35" s="397" t="s">
        <v>7404</v>
      </c>
      <c r="C35" s="209">
        <f>Party!C19</f>
        <v>175</v>
      </c>
      <c r="D35" s="149">
        <f>Party!D19</f>
        <v>50</v>
      </c>
      <c r="E35" s="209">
        <f>Party!E19</f>
        <v>0</v>
      </c>
      <c r="F35" s="209">
        <f>Party!F19</f>
        <v>162.5</v>
      </c>
      <c r="G35" s="209">
        <f>Party!G19</f>
        <v>0</v>
      </c>
      <c r="H35" s="374">
        <f t="shared" si="4"/>
        <v>-12.5</v>
      </c>
      <c r="I35" s="209">
        <f>Party!I19</f>
        <v>-262.5</v>
      </c>
      <c r="J35" s="209">
        <f>Party!J19</f>
        <v>264.78999999999996</v>
      </c>
      <c r="K35" s="209">
        <f>Party!K19</f>
        <v>0</v>
      </c>
      <c r="L35" s="374">
        <f t="shared" si="0"/>
        <v>2.2899999999999636</v>
      </c>
      <c r="M35" s="175">
        <f t="shared" si="3"/>
        <v>14.789999999999964</v>
      </c>
      <c r="P35" s="9" t="s">
        <v>7405</v>
      </c>
      <c r="Q35" s="9">
        <v>500</v>
      </c>
      <c r="R35" s="9" t="s">
        <v>52</v>
      </c>
      <c r="S35" s="9">
        <f>Q37+Q38</f>
        <v>204.56</v>
      </c>
    </row>
    <row r="36" spans="1:19" ht="28" customHeight="1" x14ac:dyDescent="0.3">
      <c r="A36" s="333"/>
      <c r="B36" s="397" t="s">
        <v>7406</v>
      </c>
      <c r="C36" s="209">
        <f>Party!C24</f>
        <v>0</v>
      </c>
      <c r="D36" s="149">
        <f>Party!D24</f>
        <v>175</v>
      </c>
      <c r="E36" s="209">
        <f>Party!E24</f>
        <v>0</v>
      </c>
      <c r="F36" s="209">
        <f>Party!F24</f>
        <v>0</v>
      </c>
      <c r="G36" s="209">
        <f>Party!G24</f>
        <v>0</v>
      </c>
      <c r="H36" s="374">
        <f t="shared" si="4"/>
        <v>0</v>
      </c>
      <c r="I36" s="499">
        <f>Party!I24</f>
        <v>-319.68</v>
      </c>
      <c r="J36" s="499">
        <f>Party!J24</f>
        <v>156.11000000000001</v>
      </c>
      <c r="K36" s="499">
        <f>Party!K24</f>
        <v>0</v>
      </c>
      <c r="L36" s="374">
        <f t="shared" si="0"/>
        <v>-163.57</v>
      </c>
      <c r="M36" s="175">
        <f t="shared" si="3"/>
        <v>-163.57</v>
      </c>
      <c r="P36" s="9" t="s">
        <v>7407</v>
      </c>
      <c r="Q36" s="9">
        <v>269.82</v>
      </c>
      <c r="R36" s="9" t="s">
        <v>56</v>
      </c>
      <c r="S36" s="9">
        <f>Q39+Q41+Q40+Q42</f>
        <v>892.13</v>
      </c>
    </row>
    <row r="37" spans="1:19" ht="28" customHeight="1" x14ac:dyDescent="0.3">
      <c r="A37" s="333"/>
      <c r="B37" s="397" t="s">
        <v>7408</v>
      </c>
      <c r="C37" s="209">
        <f>Party!C33</f>
        <v>8965</v>
      </c>
      <c r="D37" s="149">
        <f>Party!D33</f>
        <v>320</v>
      </c>
      <c r="E37" s="209">
        <f>Party!E33</f>
        <v>0</v>
      </c>
      <c r="F37" s="209">
        <f>Party!F33</f>
        <v>6350</v>
      </c>
      <c r="G37" s="209">
        <f>Party!G33</f>
        <v>0</v>
      </c>
      <c r="H37" s="374">
        <f t="shared" si="4"/>
        <v>-2615</v>
      </c>
      <c r="I37" s="499">
        <f>Party!I33</f>
        <v>-8259.58</v>
      </c>
      <c r="J37" s="499">
        <f>Party!J33</f>
        <v>5763.4999999999864</v>
      </c>
      <c r="K37" s="499">
        <f>Party!K33</f>
        <v>0</v>
      </c>
      <c r="L37" s="374">
        <f t="shared" si="0"/>
        <v>-2496.0800000000136</v>
      </c>
      <c r="M37" s="175">
        <f t="shared" si="3"/>
        <v>118.91999999998643</v>
      </c>
      <c r="P37" s="9" t="s">
        <v>7409</v>
      </c>
      <c r="Q37" s="9">
        <v>119.66</v>
      </c>
      <c r="R37" s="9" t="s">
        <v>54</v>
      </c>
      <c r="S37" s="9">
        <f>Q43+Q44</f>
        <v>95.27</v>
      </c>
    </row>
    <row r="38" spans="1:19" ht="28" customHeight="1" x14ac:dyDescent="0.3">
      <c r="A38" s="333"/>
      <c r="B38" s="397" t="s">
        <v>7410</v>
      </c>
      <c r="C38" s="209">
        <f>Party!C49</f>
        <v>4385</v>
      </c>
      <c r="D38" s="149">
        <f>Party!D49</f>
        <v>175</v>
      </c>
      <c r="E38" s="209">
        <f>Party!E49</f>
        <v>0</v>
      </c>
      <c r="F38" s="209">
        <f>Party!F49</f>
        <v>3160</v>
      </c>
      <c r="G38" s="209">
        <f>Party!G49</f>
        <v>0</v>
      </c>
      <c r="H38" s="374">
        <f t="shared" si="4"/>
        <v>-1225</v>
      </c>
      <c r="I38" s="499">
        <f>Party!I49</f>
        <v>-6480.91</v>
      </c>
      <c r="J38" s="499">
        <f>Party!J49</f>
        <v>1518.4199999999996</v>
      </c>
      <c r="K38" s="499">
        <f>Party!K49</f>
        <v>0</v>
      </c>
      <c r="L38" s="374">
        <f t="shared" si="0"/>
        <v>-4962.49</v>
      </c>
      <c r="M38" s="175">
        <f t="shared" ref="M38:M56" si="6">L38-H38</f>
        <v>-3737.49</v>
      </c>
      <c r="P38" s="9" t="s">
        <v>58</v>
      </c>
      <c r="Q38" s="9">
        <v>84.9</v>
      </c>
      <c r="R38" s="9" t="s">
        <v>61</v>
      </c>
      <c r="S38" s="9">
        <f>Q45+Q46+Q47+Q48+Q49</f>
        <v>693.75</v>
      </c>
    </row>
    <row r="39" spans="1:19" ht="28" customHeight="1" x14ac:dyDescent="0.3">
      <c r="A39" s="333"/>
      <c r="B39" s="397" t="s">
        <v>7411</v>
      </c>
      <c r="C39" s="209">
        <f>Buddy!C7</f>
        <v>435</v>
      </c>
      <c r="D39" s="149">
        <f>Buddy!D7</f>
        <v>120</v>
      </c>
      <c r="E39" s="209">
        <f>Buddy!E7</f>
        <v>0</v>
      </c>
      <c r="F39" s="209">
        <f>Buddy!F7</f>
        <v>260</v>
      </c>
      <c r="G39" s="209">
        <f>Buddy!G7</f>
        <v>250</v>
      </c>
      <c r="H39" s="374">
        <f t="shared" si="4"/>
        <v>75</v>
      </c>
      <c r="I39" s="209">
        <f>Buddy!I7</f>
        <v>-388.8</v>
      </c>
      <c r="J39" s="209">
        <f>Buddy!J7</f>
        <v>189.22999999999996</v>
      </c>
      <c r="K39" s="209">
        <f>Buddy!K7</f>
        <v>0</v>
      </c>
      <c r="L39" s="374">
        <f t="shared" si="0"/>
        <v>-199.57000000000005</v>
      </c>
      <c r="M39" s="175">
        <f t="shared" si="6"/>
        <v>-274.57000000000005</v>
      </c>
      <c r="P39" s="9" t="s">
        <v>7412</v>
      </c>
      <c r="Q39" s="9">
        <v>99.84</v>
      </c>
      <c r="R39" s="9" t="s">
        <v>63</v>
      </c>
      <c r="S39" s="9">
        <f>Q50+Q51</f>
        <v>378</v>
      </c>
    </row>
    <row r="40" spans="1:19" ht="28" customHeight="1" x14ac:dyDescent="0.3">
      <c r="A40" s="333"/>
      <c r="B40" s="397" t="s">
        <v>7413</v>
      </c>
      <c r="C40" s="209">
        <f>Buddy!C20</f>
        <v>340</v>
      </c>
      <c r="D40" s="149">
        <f>Buddy!D20</f>
        <v>50</v>
      </c>
      <c r="E40" s="209">
        <f>Buddy!E20</f>
        <v>0</v>
      </c>
      <c r="F40" s="209">
        <f>Buddy!F20</f>
        <v>207.5</v>
      </c>
      <c r="G40" s="209">
        <f>Buddy!G20</f>
        <v>40</v>
      </c>
      <c r="H40" s="374">
        <f t="shared" si="4"/>
        <v>-92.5</v>
      </c>
      <c r="I40" s="499">
        <f>Buddy!I20</f>
        <v>-308.75</v>
      </c>
      <c r="J40" s="209">
        <f>Buddy!J20</f>
        <v>141.86000000000001</v>
      </c>
      <c r="K40" s="209">
        <f>Buddy!K20</f>
        <v>0</v>
      </c>
      <c r="L40" s="374">
        <f>J40+K40+I40</f>
        <v>-166.89</v>
      </c>
      <c r="M40" s="175">
        <f t="shared" si="6"/>
        <v>-74.389999999999986</v>
      </c>
      <c r="P40" s="9" t="s">
        <v>7414</v>
      </c>
      <c r="Q40" s="9">
        <v>118.65</v>
      </c>
      <c r="R40" s="9" t="s">
        <v>65</v>
      </c>
      <c r="S40" s="9">
        <f>Q52</f>
        <v>13300</v>
      </c>
    </row>
    <row r="41" spans="1:19" ht="28" customHeight="1" x14ac:dyDescent="0.3">
      <c r="A41" s="333"/>
      <c r="B41" s="397" t="s">
        <v>7415</v>
      </c>
      <c r="C41" s="209">
        <f>Buddy!C31</f>
        <v>115</v>
      </c>
      <c r="D41" s="149">
        <f>Buddy!D31</f>
        <v>55</v>
      </c>
      <c r="E41" s="209">
        <f>Buddy!E31</f>
        <v>0</v>
      </c>
      <c r="F41" s="209">
        <f>Buddy!F31</f>
        <v>0</v>
      </c>
      <c r="G41" s="209">
        <f>Buddy!G31</f>
        <v>35</v>
      </c>
      <c r="H41" s="374">
        <f t="shared" si="4"/>
        <v>-80</v>
      </c>
      <c r="I41" s="209">
        <f>Buddy!I31</f>
        <v>-110.72</v>
      </c>
      <c r="J41" s="209">
        <f>Buddy!J31</f>
        <v>0</v>
      </c>
      <c r="K41" s="209">
        <f>Buddy!K31</f>
        <v>0</v>
      </c>
      <c r="L41" s="374">
        <f t="shared" si="0"/>
        <v>-110.72</v>
      </c>
      <c r="M41" s="175">
        <f t="shared" si="6"/>
        <v>-30.72</v>
      </c>
      <c r="P41" s="9" t="s">
        <v>7416</v>
      </c>
      <c r="Q41" s="9">
        <v>600</v>
      </c>
      <c r="R41" s="9" t="s">
        <v>7417</v>
      </c>
      <c r="S41" s="9">
        <f>Q53+Q54</f>
        <v>969.56</v>
      </c>
    </row>
    <row r="42" spans="1:19" ht="28" customHeight="1" x14ac:dyDescent="0.3">
      <c r="A42" s="333"/>
      <c r="B42" s="654" t="s">
        <v>7418</v>
      </c>
      <c r="C42" s="209">
        <f>Buddy!C42</f>
        <v>50</v>
      </c>
      <c r="D42" s="149">
        <f>Buddy!D42</f>
        <v>0</v>
      </c>
      <c r="E42" s="209">
        <f>Buddy!E42</f>
        <v>0</v>
      </c>
      <c r="F42" s="209">
        <f>Buddy!F42</f>
        <v>0</v>
      </c>
      <c r="G42" s="209">
        <f>Buddy!G42</f>
        <v>40</v>
      </c>
      <c r="H42" s="374">
        <f t="shared" si="4"/>
        <v>-10</v>
      </c>
      <c r="I42" s="499">
        <f>Buddy!I42</f>
        <v>0</v>
      </c>
      <c r="J42" s="499">
        <f>Buddy!J42</f>
        <v>0</v>
      </c>
      <c r="K42" s="499">
        <f>Buddy!K42</f>
        <v>0</v>
      </c>
      <c r="L42" s="374">
        <f t="shared" si="0"/>
        <v>0</v>
      </c>
      <c r="M42" s="175">
        <f t="shared" si="6"/>
        <v>10</v>
      </c>
      <c r="P42" s="9" t="s">
        <v>7419</v>
      </c>
      <c r="Q42" s="9">
        <v>73.64</v>
      </c>
      <c r="S42" s="9">
        <f>SUM(S34:S41)</f>
        <v>20895.680000000004</v>
      </c>
    </row>
    <row r="43" spans="1:19" ht="28" customHeight="1" x14ac:dyDescent="0.3">
      <c r="A43" s="333"/>
      <c r="B43" s="397" t="s">
        <v>7420</v>
      </c>
      <c r="C43" s="209">
        <f>Buddy!C50</f>
        <v>495</v>
      </c>
      <c r="D43" s="149">
        <f>Buddy!D50</f>
        <v>90</v>
      </c>
      <c r="E43" s="209">
        <f>Buddy!E50</f>
        <v>17.5</v>
      </c>
      <c r="F43" s="209">
        <f>Buddy!F50</f>
        <v>320.5</v>
      </c>
      <c r="G43" s="209">
        <f>Buddy!G50</f>
        <v>250</v>
      </c>
      <c r="H43" s="374">
        <f t="shared" si="4"/>
        <v>75.5</v>
      </c>
      <c r="I43" s="499">
        <f>Buddy!I50</f>
        <v>-241.20999999999998</v>
      </c>
      <c r="J43" s="499">
        <f>Buddy!J50</f>
        <v>0</v>
      </c>
      <c r="K43" s="499">
        <f>Buddy!K50</f>
        <v>0</v>
      </c>
      <c r="L43" s="374">
        <f t="shared" si="0"/>
        <v>-241.20999999999998</v>
      </c>
      <c r="M43" s="175">
        <f t="shared" si="6"/>
        <v>-316.70999999999998</v>
      </c>
      <c r="P43" s="9" t="s">
        <v>7421</v>
      </c>
      <c r="Q43" s="9">
        <v>15.27</v>
      </c>
    </row>
    <row r="44" spans="1:19" ht="28" customHeight="1" x14ac:dyDescent="0.3">
      <c r="A44" s="333"/>
      <c r="B44" s="654" t="s">
        <v>7422</v>
      </c>
      <c r="C44" s="209">
        <f>Buddy!C52</f>
        <v>50</v>
      </c>
      <c r="D44" s="149">
        <f>Buddy!D52</f>
        <v>0</v>
      </c>
      <c r="E44" s="209">
        <f>Buddy!E52</f>
        <v>0</v>
      </c>
      <c r="F44" s="209">
        <f>Buddy!F52</f>
        <v>0</v>
      </c>
      <c r="G44" s="209">
        <f>Buddy!G52</f>
        <v>0</v>
      </c>
      <c r="H44" s="374">
        <f t="shared" si="4"/>
        <v>-50</v>
      </c>
      <c r="I44" s="209">
        <f>Buddy!I52</f>
        <v>0</v>
      </c>
      <c r="J44" s="209">
        <f>Buddy!J52</f>
        <v>0</v>
      </c>
      <c r="K44" s="209">
        <f>Buddy!K52</f>
        <v>0</v>
      </c>
      <c r="L44" s="374">
        <f t="shared" si="0"/>
        <v>0</v>
      </c>
      <c r="M44" s="175">
        <f t="shared" si="6"/>
        <v>50</v>
      </c>
      <c r="P44" s="9" t="s">
        <v>7423</v>
      </c>
      <c r="Q44" s="9">
        <v>80</v>
      </c>
    </row>
    <row r="45" spans="1:19" ht="28" customHeight="1" x14ac:dyDescent="0.3">
      <c r="A45" s="333"/>
      <c r="B45" s="457" t="s">
        <v>73</v>
      </c>
      <c r="C45" s="209">
        <f>'AIM Week'!C10</f>
        <v>4700</v>
      </c>
      <c r="D45" s="149">
        <f>'AIM Week'!D10</f>
        <v>170</v>
      </c>
      <c r="E45" s="209">
        <f>'AIM Week'!E10</f>
        <v>0</v>
      </c>
      <c r="F45" s="209">
        <f>'AIM Week'!F10</f>
        <v>3230</v>
      </c>
      <c r="G45" s="209">
        <f>'AIM Week'!G10</f>
        <v>0</v>
      </c>
      <c r="H45" s="374">
        <f t="shared" si="4"/>
        <v>-1470</v>
      </c>
      <c r="I45" s="209">
        <f>'AIM Week'!I10</f>
        <v>-5736.05</v>
      </c>
      <c r="J45" s="209">
        <f>'AIM Week'!J10</f>
        <v>4498.5700000000115</v>
      </c>
      <c r="K45" s="499">
        <f>'AIM Week'!K10</f>
        <v>0</v>
      </c>
      <c r="L45" s="374">
        <f t="shared" si="0"/>
        <v>-1237.4799999999886</v>
      </c>
      <c r="M45" s="175">
        <f t="shared" si="6"/>
        <v>232.52000000001135</v>
      </c>
      <c r="P45" s="9" t="s">
        <v>7424</v>
      </c>
      <c r="Q45" s="9">
        <v>250</v>
      </c>
    </row>
    <row r="46" spans="1:19" ht="28" customHeight="1" x14ac:dyDescent="0.3">
      <c r="A46" s="333"/>
      <c r="B46" s="398" t="s">
        <v>7425</v>
      </c>
      <c r="C46" s="209">
        <f>'Amsterdam Unlocked'!C7</f>
        <v>3400</v>
      </c>
      <c r="D46" s="149">
        <f>'Amsterdam Unlocked'!D7</f>
        <v>0</v>
      </c>
      <c r="E46" s="209">
        <f>'Amsterdam Unlocked'!E7</f>
        <v>0</v>
      </c>
      <c r="F46" s="209">
        <f>'Amsterdam Unlocked'!F7</f>
        <v>3400</v>
      </c>
      <c r="G46" s="209">
        <f>'Amsterdam Unlocked'!G7</f>
        <v>0</v>
      </c>
      <c r="H46" s="374">
        <f t="shared" si="4"/>
        <v>0</v>
      </c>
      <c r="I46" s="499">
        <f>'Amsterdam Unlocked'!I7</f>
        <v>-3400</v>
      </c>
      <c r="J46" s="209">
        <f>'Amsterdam Unlocked'!J7</f>
        <v>4143.92</v>
      </c>
      <c r="K46" s="499">
        <f>'Amsterdam Unlocked'!K7</f>
        <v>0</v>
      </c>
      <c r="L46" s="374">
        <f>J46+K46+I46</f>
        <v>743.92000000000007</v>
      </c>
      <c r="M46" s="175">
        <f t="shared" si="6"/>
        <v>743.92000000000007</v>
      </c>
      <c r="P46" s="9" t="s">
        <v>7426</v>
      </c>
      <c r="Q46" s="9">
        <v>8.75</v>
      </c>
    </row>
    <row r="47" spans="1:19" ht="28" customHeight="1" x14ac:dyDescent="0.3">
      <c r="A47" s="333"/>
      <c r="B47" s="348" t="s">
        <v>7427</v>
      </c>
      <c r="C47" s="209">
        <f>TYW!C12</f>
        <v>17380</v>
      </c>
      <c r="D47" s="149">
        <f>TYW!D12</f>
        <v>100</v>
      </c>
      <c r="E47" s="209">
        <f>TYW!E12</f>
        <v>0</v>
      </c>
      <c r="F47" s="209">
        <f>TYW!F12</f>
        <v>6882</v>
      </c>
      <c r="G47" s="209">
        <f>TYW!G12</f>
        <v>9000</v>
      </c>
      <c r="H47" s="374">
        <f t="shared" si="4"/>
        <v>-1498</v>
      </c>
      <c r="I47" s="209">
        <f>TYW!I12</f>
        <v>-14571.78</v>
      </c>
      <c r="J47" s="209">
        <f>TYW!J12</f>
        <v>7103.8900000000012</v>
      </c>
      <c r="K47" s="499">
        <f>TYW!K12</f>
        <v>9000</v>
      </c>
      <c r="L47" s="374">
        <f t="shared" si="0"/>
        <v>1532.1100000000006</v>
      </c>
      <c r="M47" s="175">
        <f t="shared" si="6"/>
        <v>3030.1100000000006</v>
      </c>
      <c r="P47" s="9" t="s">
        <v>7428</v>
      </c>
      <c r="Q47" s="9">
        <v>200</v>
      </c>
    </row>
    <row r="48" spans="1:19" ht="28" customHeight="1" x14ac:dyDescent="0.3">
      <c r="A48" s="333"/>
      <c r="B48" s="349" t="s">
        <v>7429</v>
      </c>
      <c r="C48" s="209">
        <f>'AIM Sports Teams'!C5</f>
        <v>150</v>
      </c>
      <c r="D48" s="149">
        <f>'AIM Sports Teams'!D5</f>
        <v>0</v>
      </c>
      <c r="E48" s="209">
        <f>'AIM Sports Teams'!E5</f>
        <v>0</v>
      </c>
      <c r="F48" s="209">
        <f>'AIM Sports Teams'!F5</f>
        <v>0</v>
      </c>
      <c r="G48" s="209">
        <f>'AIM Sports Teams'!G5</f>
        <v>75</v>
      </c>
      <c r="H48" s="374">
        <f t="shared" si="4"/>
        <v>-75</v>
      </c>
      <c r="I48" s="209">
        <f>'AIM Sports Teams'!I5</f>
        <v>0</v>
      </c>
      <c r="J48" s="209">
        <f>'AIM Sports Teams'!J5</f>
        <v>0</v>
      </c>
      <c r="K48" s="499">
        <f>'AIM Sports Teams'!K5</f>
        <v>0</v>
      </c>
      <c r="L48" s="374">
        <f t="shared" si="0"/>
        <v>0</v>
      </c>
      <c r="M48" s="175">
        <f t="shared" si="6"/>
        <v>75</v>
      </c>
      <c r="P48" s="9" t="s">
        <v>7430</v>
      </c>
      <c r="Q48" s="9">
        <v>35</v>
      </c>
    </row>
    <row r="49" spans="1:17" ht="28" customHeight="1" x14ac:dyDescent="0.3">
      <c r="A49" s="333"/>
      <c r="B49" s="349" t="s">
        <v>7431</v>
      </c>
      <c r="C49" s="209">
        <f>'AIM Sports Teams'!C8</f>
        <v>800</v>
      </c>
      <c r="D49" s="149">
        <f>'AIM Sports Teams'!D8</f>
        <v>0</v>
      </c>
      <c r="E49" s="209">
        <f>'AIM Sports Teams'!E8</f>
        <v>0</v>
      </c>
      <c r="F49" s="209">
        <f>'AIM Sports Teams'!F8</f>
        <v>0</v>
      </c>
      <c r="G49" s="209">
        <f>'AIM Sports Teams'!G8</f>
        <v>800</v>
      </c>
      <c r="H49" s="374">
        <f t="shared" si="4"/>
        <v>0</v>
      </c>
      <c r="I49" s="209">
        <f>'AIM Sports Teams'!I8</f>
        <v>-1114.5999999999999</v>
      </c>
      <c r="J49" s="209">
        <f>'AIM Sports Teams'!J8</f>
        <v>0</v>
      </c>
      <c r="K49" s="499">
        <f>'AIM Sports Teams'!K8</f>
        <v>0</v>
      </c>
      <c r="L49" s="374">
        <f t="shared" si="0"/>
        <v>-1114.5999999999999</v>
      </c>
      <c r="M49" s="175">
        <f t="shared" si="6"/>
        <v>-1114.5999999999999</v>
      </c>
      <c r="P49" s="9" t="s">
        <v>7432</v>
      </c>
      <c r="Q49" s="9">
        <v>200</v>
      </c>
    </row>
    <row r="50" spans="1:17" ht="28" customHeight="1" x14ac:dyDescent="0.3">
      <c r="A50" s="333"/>
      <c r="B50" s="350" t="s">
        <v>7433</v>
      </c>
      <c r="C50" s="209">
        <f>FMW!C13</f>
        <v>24750</v>
      </c>
      <c r="D50" s="149">
        <f>FMW!D13</f>
        <v>180</v>
      </c>
      <c r="E50" s="209">
        <f>FMW!E13</f>
        <v>0</v>
      </c>
      <c r="F50" s="209">
        <f>FMW!F13</f>
        <v>11340</v>
      </c>
      <c r="G50" s="209">
        <f>FMW!G13</f>
        <v>13300</v>
      </c>
      <c r="H50" s="374">
        <f>F50+G50-C50</f>
        <v>-110</v>
      </c>
      <c r="I50" s="209">
        <f>FMW!I13</f>
        <v>-23716.239999999994</v>
      </c>
      <c r="J50" s="209">
        <f>FMW!J13</f>
        <v>12593.599999999973</v>
      </c>
      <c r="K50" s="499">
        <f>FMW!K13</f>
        <v>0</v>
      </c>
      <c r="L50" s="374">
        <f t="shared" si="0"/>
        <v>-11122.640000000021</v>
      </c>
      <c r="M50" s="175">
        <f t="shared" si="6"/>
        <v>-11012.640000000021</v>
      </c>
      <c r="P50" s="9" t="s">
        <v>7434</v>
      </c>
      <c r="Q50" s="9">
        <v>276</v>
      </c>
    </row>
    <row r="51" spans="1:17" ht="28" customHeight="1" x14ac:dyDescent="0.3">
      <c r="A51" s="333"/>
      <c r="B51" s="351" t="s">
        <v>7435</v>
      </c>
      <c r="C51" s="209">
        <f>Yearbook!C5</f>
        <v>3800</v>
      </c>
      <c r="D51" s="149">
        <v>0</v>
      </c>
      <c r="E51" s="209">
        <v>0</v>
      </c>
      <c r="F51" s="209">
        <f>Yearbook!F5</f>
        <v>0</v>
      </c>
      <c r="G51" s="209">
        <f>Yearbook!E3</f>
        <v>3800</v>
      </c>
      <c r="H51" s="374">
        <f t="shared" si="4"/>
        <v>0</v>
      </c>
      <c r="I51" s="209">
        <f>Yearbook!G5</f>
        <v>0</v>
      </c>
      <c r="J51" s="209">
        <f>Yearbook!H5</f>
        <v>0</v>
      </c>
      <c r="K51" s="499">
        <f>Yearbook!I5</f>
        <v>0</v>
      </c>
      <c r="L51" s="374">
        <f t="shared" si="0"/>
        <v>0</v>
      </c>
      <c r="M51" s="175">
        <f t="shared" si="6"/>
        <v>0</v>
      </c>
      <c r="P51" s="9" t="s">
        <v>7436</v>
      </c>
      <c r="Q51" s="9">
        <v>102</v>
      </c>
    </row>
    <row r="52" spans="1:17" ht="28" customHeight="1" x14ac:dyDescent="0.3">
      <c r="A52" s="333"/>
      <c r="B52" s="494" t="s">
        <v>79</v>
      </c>
      <c r="C52" s="209">
        <f>Merchandise!C5</f>
        <v>0</v>
      </c>
      <c r="D52" s="524">
        <f>Merchandise!D5</f>
        <v>0</v>
      </c>
      <c r="E52" s="499">
        <f>Merchandise!E5</f>
        <v>0</v>
      </c>
      <c r="F52" s="209">
        <f>Merchandise!F5</f>
        <v>0</v>
      </c>
      <c r="G52" s="209">
        <f>Merchandise!G5</f>
        <v>0</v>
      </c>
      <c r="H52" s="374">
        <f t="shared" si="4"/>
        <v>0</v>
      </c>
      <c r="I52" s="209">
        <f>Merchandise!I5</f>
        <v>0</v>
      </c>
      <c r="J52" s="209">
        <f>Merchandise!J5</f>
        <v>0</v>
      </c>
      <c r="K52" s="499">
        <f>Merchandise!K5</f>
        <v>0</v>
      </c>
      <c r="L52" s="374">
        <f t="shared" si="0"/>
        <v>0</v>
      </c>
      <c r="M52" s="175">
        <f t="shared" si="6"/>
        <v>0</v>
      </c>
      <c r="P52" s="9" t="s">
        <v>65</v>
      </c>
      <c r="Q52" s="9">
        <f>8000+5100+200</f>
        <v>13300</v>
      </c>
    </row>
    <row r="53" spans="1:17" ht="28" customHeight="1" x14ac:dyDescent="0.3">
      <c r="A53" s="333"/>
      <c r="B53" s="495" t="s">
        <v>7437</v>
      </c>
      <c r="C53" s="209">
        <f>'Memberships 24_25'!C5</f>
        <v>0</v>
      </c>
      <c r="D53" s="524">
        <f>'Memberships 24_25'!D5</f>
        <v>9221.93</v>
      </c>
      <c r="E53" s="499">
        <f>'Memberships 24_25'!E5</f>
        <v>0</v>
      </c>
      <c r="F53" s="209">
        <f>'Memberships 24_25'!D5</f>
        <v>9221.93</v>
      </c>
      <c r="G53" s="127">
        <f>'Memberships 24_25'!E5</f>
        <v>0</v>
      </c>
      <c r="H53" s="374">
        <f t="shared" si="4"/>
        <v>9221.93</v>
      </c>
      <c r="I53" s="127">
        <f>'Memberships 24_25'!G5</f>
        <v>0</v>
      </c>
      <c r="J53" s="209">
        <f>'Memberships 24_25'!H5</f>
        <v>11824.16</v>
      </c>
      <c r="K53" s="127">
        <f>'Memberships 24_25'!I5</f>
        <v>0</v>
      </c>
      <c r="L53" s="374">
        <f t="shared" si="0"/>
        <v>11824.16</v>
      </c>
      <c r="M53" s="175">
        <f t="shared" si="6"/>
        <v>2602.2299999999996</v>
      </c>
      <c r="P53" s="9" t="s">
        <v>7438</v>
      </c>
      <c r="Q53" s="9">
        <f>142.5+27.06</f>
        <v>169.56</v>
      </c>
    </row>
    <row r="54" spans="1:17" ht="28" customHeight="1" x14ac:dyDescent="0.3">
      <c r="A54" s="333"/>
      <c r="B54" s="371" t="s">
        <v>7439</v>
      </c>
      <c r="C54" s="209">
        <f>'AIM Club'!C6</f>
        <v>400</v>
      </c>
      <c r="D54" s="524">
        <f>'AIM Club'!D6</f>
        <v>0</v>
      </c>
      <c r="E54" s="499">
        <f>'AIM Club'!E6</f>
        <v>0</v>
      </c>
      <c r="F54" s="209">
        <f>'AIM Club'!F6</f>
        <v>0</v>
      </c>
      <c r="G54" s="209">
        <f>'AIM Club'!G6</f>
        <v>400</v>
      </c>
      <c r="H54" s="374">
        <f t="shared" si="4"/>
        <v>0</v>
      </c>
      <c r="I54" s="209">
        <f>'AIM Club'!I6</f>
        <v>-169.56</v>
      </c>
      <c r="J54" s="209">
        <f>'AIM Club'!J6</f>
        <v>0</v>
      </c>
      <c r="K54" s="209">
        <f>'AIM Club'!K6</f>
        <v>0</v>
      </c>
      <c r="L54" s="374">
        <f t="shared" si="0"/>
        <v>-169.56</v>
      </c>
      <c r="M54" s="175">
        <f t="shared" si="6"/>
        <v>-169.56</v>
      </c>
      <c r="P54" s="9" t="s">
        <v>7440</v>
      </c>
      <c r="Q54" s="9">
        <v>800</v>
      </c>
    </row>
    <row r="55" spans="1:17" ht="28" customHeight="1" x14ac:dyDescent="0.3">
      <c r="A55" s="333"/>
      <c r="B55" s="352" t="s">
        <v>7441</v>
      </c>
      <c r="C55" s="209">
        <f>Board!C27</f>
        <v>8956.91</v>
      </c>
      <c r="D55" s="524">
        <v>0</v>
      </c>
      <c r="E55" s="637">
        <v>0</v>
      </c>
      <c r="F55" s="209">
        <f>Board!D27</f>
        <v>4017.55</v>
      </c>
      <c r="G55" s="209">
        <f>Board!E27</f>
        <v>4003.91</v>
      </c>
      <c r="H55" s="374">
        <f t="shared" si="4"/>
        <v>-935.44999999999982</v>
      </c>
      <c r="I55" s="209">
        <f>Board!G27</f>
        <v>-37222.75</v>
      </c>
      <c r="J55" s="209">
        <f>Board!H27</f>
        <v>13063.16</v>
      </c>
      <c r="K55" s="209">
        <f>Board!I27</f>
        <v>27596.22</v>
      </c>
      <c r="L55" s="374">
        <f t="shared" si="0"/>
        <v>3436.6300000000047</v>
      </c>
      <c r="M55" s="175">
        <f t="shared" si="6"/>
        <v>4372.0800000000045</v>
      </c>
      <c r="P55" s="21" t="s">
        <v>7355</v>
      </c>
      <c r="Q55" s="21">
        <f>SUM(Q24:Q54)</f>
        <v>20895.68</v>
      </c>
    </row>
    <row r="56" spans="1:17" ht="28" customHeight="1" thickBot="1" x14ac:dyDescent="0.35">
      <c r="A56" s="333"/>
      <c r="B56" s="352" t="s">
        <v>7442</v>
      </c>
      <c r="C56" s="209">
        <f>Board!C47</f>
        <v>12938.8</v>
      </c>
      <c r="D56" s="638">
        <v>0</v>
      </c>
      <c r="E56" s="639">
        <v>0</v>
      </c>
      <c r="F56" s="209">
        <f>Board!D47</f>
        <v>6517.5</v>
      </c>
      <c r="G56" s="209">
        <f>Board!E47</f>
        <v>4899.82</v>
      </c>
      <c r="H56" s="374">
        <f t="shared" si="4"/>
        <v>-1521.4799999999996</v>
      </c>
      <c r="I56" s="209">
        <f>Board!G47</f>
        <v>-11966.86</v>
      </c>
      <c r="J56" s="209">
        <f>Board!H47</f>
        <v>4368.12</v>
      </c>
      <c r="K56" s="209">
        <f>Board!I47</f>
        <v>3000</v>
      </c>
      <c r="L56" s="374">
        <f t="shared" si="0"/>
        <v>-4598.7400000000007</v>
      </c>
      <c r="M56" s="175">
        <f t="shared" si="6"/>
        <v>-3077.2600000000011</v>
      </c>
    </row>
    <row r="57" spans="1:17" s="183" customFormat="1" ht="28" customHeight="1" thickBot="1" x14ac:dyDescent="0.4">
      <c r="A57" s="210"/>
      <c r="B57" s="211" t="s">
        <v>7443</v>
      </c>
      <c r="C57" s="212">
        <f>SUMIF(A3:A56, "&lt;&gt;Cancelled", C3:C56)</f>
        <v>105322.71</v>
      </c>
      <c r="D57" s="213">
        <f>SUM(D3:D56)</f>
        <v>12011.93</v>
      </c>
      <c r="E57" s="212">
        <f>SUM(E3:E56)</f>
        <v>31.5</v>
      </c>
      <c r="F57" s="212">
        <f>SUMIF(A3:A56, "&lt;&gt;Cancelled",F3:F56)</f>
        <v>61966.98</v>
      </c>
      <c r="G57" s="212">
        <f>SUM(G3:G56)</f>
        <v>43355.73</v>
      </c>
      <c r="H57" s="375">
        <f>SUMIF(A3:A56, "&lt;&gt;Cancelled",H3:H56)</f>
        <v>9.0949470177292824E-13</v>
      </c>
      <c r="I57" s="212">
        <f>SUM(I3:I56)-Board!G4</f>
        <v>-98865.7</v>
      </c>
      <c r="J57" s="212">
        <f>SUM(J3:J56)</f>
        <v>70990.699999999968</v>
      </c>
      <c r="K57" s="214">
        <f>SUM(K3:K56)-Board!I4</f>
        <v>16317.099999999999</v>
      </c>
      <c r="L57" s="375">
        <f>SUM(L3:L56)</f>
        <v>-9846.160000000018</v>
      </c>
      <c r="M57" s="392">
        <f>SUM(M3:M56)</f>
        <v>-9846.1600000000199</v>
      </c>
    </row>
    <row r="58" spans="1:17" ht="28" customHeight="1" thickBot="1" x14ac:dyDescent="0.35">
      <c r="C58" s="377"/>
      <c r="D58" s="377"/>
      <c r="E58" s="377"/>
      <c r="F58" s="377" t="s">
        <v>7444</v>
      </c>
      <c r="G58" s="377">
        <f>G59+K57</f>
        <v>37212.78</v>
      </c>
      <c r="H58" s="130">
        <f>F57+G57-C57</f>
        <v>0</v>
      </c>
      <c r="K58" s="140"/>
      <c r="L58" s="391">
        <f>I57+J57+K57</f>
        <v>-11557.900000000031</v>
      </c>
    </row>
    <row r="59" spans="1:17" ht="28" customHeight="1" x14ac:dyDescent="0.3">
      <c r="C59" s="129"/>
      <c r="D59" s="129"/>
      <c r="E59" s="129"/>
      <c r="F59" s="9" t="s">
        <v>7445</v>
      </c>
      <c r="G59" s="136">
        <f>Q55</f>
        <v>20895.68</v>
      </c>
      <c r="M59" s="136"/>
    </row>
    <row r="60" spans="1:17" ht="28" customHeight="1" x14ac:dyDescent="0.3">
      <c r="B60" s="21"/>
      <c r="E60" s="8"/>
      <c r="G60" s="12"/>
      <c r="H60" s="136"/>
      <c r="J60" s="127"/>
      <c r="K60" s="136" t="s">
        <v>7446</v>
      </c>
      <c r="L60" s="138">
        <f>'Cashbook ING'!C471</f>
        <v>292.87000000001433</v>
      </c>
      <c r="M60" s="136"/>
      <c r="N60" s="136"/>
    </row>
    <row r="61" spans="1:17" ht="28" customHeight="1" x14ac:dyDescent="0.3">
      <c r="B61" s="21"/>
      <c r="E61" s="8"/>
      <c r="G61" s="12"/>
      <c r="H61" s="136"/>
      <c r="I61" s="136"/>
      <c r="J61" s="127"/>
      <c r="K61" s="136" t="s">
        <v>7354</v>
      </c>
      <c r="L61" s="510">
        <f>G59</f>
        <v>20895.68</v>
      </c>
      <c r="M61" s="136"/>
      <c r="N61" s="136"/>
    </row>
    <row r="62" spans="1:17" ht="28" customHeight="1" x14ac:dyDescent="0.3">
      <c r="B62" s="21"/>
      <c r="E62" s="8"/>
      <c r="G62" s="12"/>
      <c r="H62" s="136"/>
      <c r="J62" s="127"/>
      <c r="K62" s="136" t="s">
        <v>7447</v>
      </c>
      <c r="L62" s="510">
        <f>SUM(L60:L61)</f>
        <v>21188.550000000014</v>
      </c>
      <c r="M62" s="136"/>
      <c r="N62" s="136"/>
    </row>
    <row r="63" spans="1:17" ht="28" customHeight="1" x14ac:dyDescent="0.3">
      <c r="K63" s="9" t="s">
        <v>7448</v>
      </c>
      <c r="L63" s="136">
        <f>1300+'Memberships 24_25'!H5</f>
        <v>13124.16</v>
      </c>
      <c r="M63" s="136"/>
      <c r="N63" s="136"/>
    </row>
    <row r="64" spans="1:17" ht="28" customHeight="1" x14ac:dyDescent="0.3">
      <c r="K64" s="136" t="s">
        <v>7355</v>
      </c>
      <c r="L64" s="136">
        <f>L62-L63</f>
        <v>8064.390000000014</v>
      </c>
      <c r="N64" s="136"/>
    </row>
    <row r="65" spans="8:14" ht="28" customHeight="1" x14ac:dyDescent="0.3">
      <c r="H65" s="9" t="s">
        <v>7449</v>
      </c>
      <c r="K65" s="136" t="s">
        <v>7450</v>
      </c>
      <c r="L65" s="136" t="s">
        <v>7451</v>
      </c>
      <c r="M65" s="377">
        <f>816.46+855.63-75</f>
        <v>1597.0900000000001</v>
      </c>
      <c r="N65" s="136"/>
    </row>
    <row r="66" spans="8:14" ht="28" customHeight="1" x14ac:dyDescent="0.3">
      <c r="K66" s="136"/>
      <c r="L66" s="136" t="s">
        <v>7384</v>
      </c>
      <c r="M66" s="377">
        <f>-7*125</f>
        <v>-875</v>
      </c>
      <c r="N66" s="136"/>
    </row>
    <row r="67" spans="8:14" ht="28" customHeight="1" x14ac:dyDescent="0.3">
      <c r="L67" s="136" t="s">
        <v>7452</v>
      </c>
      <c r="M67" s="377">
        <v>-200</v>
      </c>
      <c r="N67" s="136"/>
    </row>
    <row r="68" spans="8:14" ht="28" customHeight="1" x14ac:dyDescent="0.3">
      <c r="K68" s="136"/>
      <c r="L68" s="9" t="s">
        <v>7453</v>
      </c>
      <c r="M68" s="377">
        <v>-2000</v>
      </c>
    </row>
    <row r="69" spans="8:14" ht="28" customHeight="1" x14ac:dyDescent="0.3">
      <c r="L69" s="136" t="s">
        <v>7454</v>
      </c>
      <c r="M69" s="377">
        <v>-800</v>
      </c>
    </row>
    <row r="70" spans="8:14" ht="28" customHeight="1" x14ac:dyDescent="0.3">
      <c r="L70" s="136" t="s">
        <v>7355</v>
      </c>
      <c r="M70" s="532">
        <f>M65+M66+M67+M68+M69</f>
        <v>-2277.91</v>
      </c>
    </row>
    <row r="71" spans="8:14" ht="28" customHeight="1" x14ac:dyDescent="0.3">
      <c r="L71" s="136" t="s">
        <v>7455</v>
      </c>
      <c r="M71" s="532">
        <f>L64+M70</f>
        <v>5786.4800000000141</v>
      </c>
    </row>
    <row r="73" spans="8:14" ht="28" customHeight="1" x14ac:dyDescent="0.3">
      <c r="J73" s="136"/>
    </row>
  </sheetData>
  <sortState xmlns:xlrd2="http://schemas.microsoft.com/office/spreadsheetml/2017/richdata2" ref="B10:O56">
    <sortCondition ref="B10:B56"/>
  </sortState>
  <mergeCells count="4">
    <mergeCell ref="C1:H1"/>
    <mergeCell ref="I1:M1"/>
    <mergeCell ref="B1:B2"/>
    <mergeCell ref="A1:A2"/>
  </mergeCells>
  <conditionalFormatting sqref="A1:C1 I1:M1 A2 H2 L2:M2 L4:M56 H5:K36 D19:G36 C19:C41 H38:H56 C42:G54 I45:K56">
    <cfRule type="cellIs" dxfId="117" priority="1" operator="lessThan">
      <formula>0</formula>
    </cfRule>
  </conditionalFormatting>
  <conditionalFormatting sqref="C3:M3 C4:K4 D37:K37 I38:K44 C5:G18 D38:G41 C55:D56 F55:G56">
    <cfRule type="cellIs" dxfId="116" priority="48" operator="lessThan">
      <formula>0</formula>
    </cfRule>
  </conditionalFormatting>
  <conditionalFormatting sqref="C57:M57">
    <cfRule type="cellIs" dxfId="115" priority="24" operator="lessThan">
      <formula>0</formula>
    </cfRule>
  </conditionalFormatting>
  <conditionalFormatting sqref="E36:G36">
    <cfRule type="cellIs" dxfId="114" priority="41" operator="lessThan">
      <formula>0</formula>
    </cfRule>
  </conditionalFormatting>
  <conditionalFormatting sqref="H58">
    <cfRule type="cellIs" dxfId="113" priority="15" operator="lessThan">
      <formula>0</formula>
    </cfRule>
  </conditionalFormatting>
  <conditionalFormatting sqref="H57:L58 L4:L57 I5:K12 H5:H56 I16:K21 I23:K23 I33:K36 I45:K53 I55:K56 H3:L3 H4:K4 I39:K41">
    <cfRule type="cellIs" dxfId="112" priority="23" operator="lessThan">
      <formula>0</formula>
    </cfRule>
  </conditionalFormatting>
  <conditionalFormatting sqref="J60:J62">
    <cfRule type="cellIs" dxfId="111" priority="11" operator="lessThan">
      <formula>0</formula>
    </cfRule>
  </conditionalFormatting>
  <conditionalFormatting sqref="K58">
    <cfRule type="cellIs" dxfId="110" priority="10" operator="lessThan">
      <formula>0</formula>
    </cfRule>
  </conditionalFormatting>
  <conditionalFormatting sqref="L57:L58">
    <cfRule type="cellIs" dxfId="109" priority="13" operator="less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499984740745262"/>
  </sheetPr>
  <dimension ref="A1:O51"/>
  <sheetViews>
    <sheetView zoomScale="67" zoomScaleNormal="56" zoomScalePageLayoutView="56" workbookViewId="0">
      <pane xSplit="2" ySplit="2" topLeftCell="C3" activePane="bottomRight" state="frozen"/>
      <selection pane="topRight" activeCell="B1" sqref="B1"/>
      <selection pane="bottomLeft" activeCell="A3" sqref="A3"/>
      <selection pane="bottomRight" activeCell="G4" sqref="G4"/>
    </sheetView>
  </sheetViews>
  <sheetFormatPr baseColWidth="10" defaultColWidth="11.5" defaultRowHeight="15" x14ac:dyDescent="0.2"/>
  <cols>
    <col min="1" max="1" width="33.5" customWidth="1"/>
    <col min="2" max="2" width="53.33203125" customWidth="1"/>
    <col min="3" max="4" width="25.83203125" customWidth="1"/>
    <col min="5" max="5" width="27.1640625" customWidth="1"/>
    <col min="6" max="8" width="25.83203125" customWidth="1"/>
    <col min="9" max="9" width="34.83203125" customWidth="1"/>
    <col min="10" max="10" width="25.83203125" customWidth="1"/>
    <col min="11" max="11" width="37.33203125" customWidth="1"/>
    <col min="13" max="13" width="2" bestFit="1" customWidth="1"/>
    <col min="14" max="14" width="26.33203125" customWidth="1"/>
    <col min="15" max="15" width="20.83203125" customWidth="1"/>
  </cols>
  <sheetData>
    <row r="1" spans="1:15" ht="25" x14ac:dyDescent="0.25">
      <c r="A1" s="677" t="s">
        <v>7456</v>
      </c>
      <c r="B1" s="676" t="s">
        <v>7457</v>
      </c>
      <c r="C1" s="674" t="s">
        <v>7348</v>
      </c>
      <c r="D1" s="674"/>
      <c r="E1" s="674"/>
      <c r="F1" s="674"/>
      <c r="G1" s="674" t="s">
        <v>7349</v>
      </c>
      <c r="H1" s="674"/>
      <c r="I1" s="675"/>
      <c r="J1" s="675"/>
      <c r="K1" s="675"/>
    </row>
    <row r="2" spans="1:15" ht="25" x14ac:dyDescent="0.25">
      <c r="A2" s="677"/>
      <c r="B2" s="676"/>
      <c r="C2" s="314" t="s">
        <v>7350</v>
      </c>
      <c r="D2" s="315" t="s">
        <v>7353</v>
      </c>
      <c r="E2" s="316" t="s">
        <v>7458</v>
      </c>
      <c r="F2" s="317" t="s">
        <v>7355</v>
      </c>
      <c r="G2" s="318" t="s">
        <v>7350</v>
      </c>
      <c r="H2" s="308" t="s">
        <v>7353</v>
      </c>
      <c r="I2" s="309" t="s">
        <v>7458</v>
      </c>
      <c r="J2" s="310" t="s">
        <v>7355</v>
      </c>
      <c r="K2" s="313" t="s">
        <v>7459</v>
      </c>
    </row>
    <row r="3" spans="1:15" s="9" customFormat="1" ht="26" x14ac:dyDescent="0.3">
      <c r="A3" s="678" t="s">
        <v>7460</v>
      </c>
      <c r="B3" s="458" t="s">
        <v>7461</v>
      </c>
      <c r="C3" s="432">
        <v>12.5</v>
      </c>
      <c r="D3" s="432">
        <v>0</v>
      </c>
      <c r="E3" s="148">
        <v>12.5</v>
      </c>
      <c r="F3" s="148">
        <f>D3+E3-C3</f>
        <v>0</v>
      </c>
      <c r="G3" s="402">
        <f>SUMIFS('Cashbook ING'!B3:B3987, 'Cashbook ING'!A3:A3987, "BG_ASVA")</f>
        <v>-20</v>
      </c>
      <c r="H3" s="148">
        <f>SUMIFS('Cashbook ING'!D3:D3987, 'Cashbook ING'!B3:B3987, "BG_ASVA")</f>
        <v>0</v>
      </c>
      <c r="I3" s="148">
        <v>0</v>
      </c>
      <c r="J3" s="302">
        <f>H3+I3+G3</f>
        <v>-20</v>
      </c>
      <c r="K3" s="175">
        <f>J3-F3</f>
        <v>-20</v>
      </c>
    </row>
    <row r="4" spans="1:15" s="9" customFormat="1" ht="26" x14ac:dyDescent="0.3">
      <c r="A4" s="678"/>
      <c r="B4" s="458" t="s">
        <v>7462</v>
      </c>
      <c r="C4" s="432">
        <v>0</v>
      </c>
      <c r="D4" s="432">
        <v>3817.55</v>
      </c>
      <c r="E4" s="148">
        <v>0</v>
      </c>
      <c r="F4" s="148">
        <f>E4+D4-C4</f>
        <v>3817.55</v>
      </c>
      <c r="G4" s="402">
        <f>SUMIFS('Cashbook ING'!B2:B6997, 'Cashbook ING'!A2:A6997, "BG_Board23/24Expenses")
+SUMIFS('Cashbook ING'!B2:B6997, 'Cashbook ING'!A2:A6997, "BG_Board23/24CurrenttoLustrum")
+SUMIFS('Cashbook ING'!B2:B6997, 'Cashbook ING'!A2:A6997, "BG_Board23/24CurrenttoBaseline")
-9221.93-2499.31</f>
        <v>-25884.48</v>
      </c>
      <c r="H4" s="148">
        <f>SUMIFS('Cashbook Wix'!B2:B6979, 'Cashbook Wix'!A2:A6979, "BG_Board23/24Income")
+SUMIFS('Cashbook ING'!B2:B6997, 'Cashbook ING'!A2:A6997, "BG_Board23/24Income")
+SUMIFS('Cashbook ING'!B2:B3987, 'Cashbook ING'!A2:A3987, "BG_Account23/24")</f>
        <v>2105.81</v>
      </c>
      <c r="I4" s="148">
        <f>SUMIFS('Cashbook ING'!B2:B6997, 'Cashbook ING'!A2:A6997, "BG_Board23/24Sponsorship")</f>
        <v>27596.22</v>
      </c>
      <c r="J4" s="302">
        <f>H4+I4+G4</f>
        <v>3817.5500000000029</v>
      </c>
      <c r="K4" s="175">
        <f t="shared" ref="K4:K26" si="0">J4-F4</f>
        <v>0</v>
      </c>
      <c r="N4" s="23"/>
      <c r="O4" s="137"/>
    </row>
    <row r="5" spans="1:15" s="9" customFormat="1" ht="26" x14ac:dyDescent="0.3">
      <c r="A5" s="678"/>
      <c r="B5" s="458" t="s">
        <v>7463</v>
      </c>
      <c r="C5" s="432">
        <v>0</v>
      </c>
      <c r="D5" s="432">
        <v>0</v>
      </c>
      <c r="E5" s="148">
        <v>0</v>
      </c>
      <c r="F5" s="148">
        <f t="shared" ref="F5:F6" si="1">E5+D5-C5</f>
        <v>0</v>
      </c>
      <c r="G5" s="402">
        <f>SUMIFS('Cashbook ING Lustrum Savings'!B3:B3989, 'Cashbook ING Lustrum Savings'!A3:A3989, "BG_LustrumSavingsExpense") + SUMIFS('Cashbook ING'!B3:B3987, 'Cashbook ING'!A3:A3987, "CurrenttoLustrum")</f>
        <v>0</v>
      </c>
      <c r="H5" s="641">
        <f>SUMIFS('Cashbook ING Lustrum Savings'!B3:B3989, 'Cashbook ING Lustrum Savings'!A3:A3989, "BG_LustrumSavingsIncome") + SUMIFS('Cashbook ING'!B3:B3987, 'Cashbook ING'!A3:A3987, "BG_LustrumSavingsIncome")</f>
        <v>0</v>
      </c>
      <c r="I5" s="148">
        <v>0</v>
      </c>
      <c r="J5" s="302">
        <f t="shared" ref="J5:J26" si="2">H5+I5+G5</f>
        <v>0</v>
      </c>
      <c r="K5" s="175">
        <f t="shared" si="0"/>
        <v>0</v>
      </c>
      <c r="N5" s="23"/>
      <c r="O5" s="137"/>
    </row>
    <row r="6" spans="1:15" s="9" customFormat="1" ht="26" x14ac:dyDescent="0.3">
      <c r="A6" s="678"/>
      <c r="B6" s="458" t="s">
        <v>7464</v>
      </c>
      <c r="C6" s="432">
        <v>0</v>
      </c>
      <c r="D6" s="432">
        <v>0</v>
      </c>
      <c r="E6" s="148">
        <v>0</v>
      </c>
      <c r="F6" s="148">
        <f t="shared" si="1"/>
        <v>0</v>
      </c>
      <c r="G6" s="402">
        <f>SUMIFS('Cashbook ING Baseline Savings'!B3:B3989, 'Cashbook ING Baseline Savings'!A3:A3989, "BG_SavingsExpense") + SUMIFS('Cashbook ING'!B3:B3987, 'Cashbook ING'!A3:A3987, "CurrenttoBaseline")</f>
        <v>-9000</v>
      </c>
      <c r="H6" s="148">
        <f>SUMIFS('Cashbook ING Baseline Savings'!B3:B3989, 'Cashbook ING Baseline Savings'!A3:A3989, "BG_SavingsIncome") + SUMIFS('Cashbook ING'!B3:B3987, 'Cashbook ING'!A3:A3987, "BaselinetoCurrent")</f>
        <v>10300</v>
      </c>
      <c r="I6" s="148">
        <v>0</v>
      </c>
      <c r="J6" s="302">
        <f t="shared" si="2"/>
        <v>1300</v>
      </c>
      <c r="K6" s="175">
        <f t="shared" si="0"/>
        <v>1300</v>
      </c>
      <c r="N6" s="23"/>
      <c r="O6" s="137"/>
    </row>
    <row r="7" spans="1:15" s="9" customFormat="1" ht="26" x14ac:dyDescent="0.3">
      <c r="A7" s="678"/>
      <c r="B7" s="459" t="s">
        <v>7465</v>
      </c>
      <c r="C7" s="432">
        <v>200</v>
      </c>
      <c r="D7" s="432">
        <v>0</v>
      </c>
      <c r="E7" s="148">
        <v>0</v>
      </c>
      <c r="F7" s="148">
        <f t="shared" ref="F7:F26" si="3">D7+E7-C7</f>
        <v>-200</v>
      </c>
      <c r="G7" s="402">
        <f>SUMIFS('Cashbook ING'!B3:B3987, 'Cashbook ING'!A3:A3987, "BG_Sweaters")</f>
        <v>-264.72000000000003</v>
      </c>
      <c r="H7" s="148">
        <f>SUMIFS('Cashbook Wix'!B2:B6979,'Cashbook Wix'!A2:A6979,"BG_Sweaters")</f>
        <v>0</v>
      </c>
      <c r="I7" s="148">
        <v>0</v>
      </c>
      <c r="J7" s="302">
        <f t="shared" si="2"/>
        <v>-264.72000000000003</v>
      </c>
      <c r="K7" s="175">
        <f t="shared" si="0"/>
        <v>-64.720000000000027</v>
      </c>
    </row>
    <row r="8" spans="1:15" s="9" customFormat="1" ht="26" x14ac:dyDescent="0.3">
      <c r="A8" s="678"/>
      <c r="B8" s="458" t="s">
        <v>7466</v>
      </c>
      <c r="C8" s="432">
        <v>360</v>
      </c>
      <c r="D8" s="432">
        <v>0</v>
      </c>
      <c r="E8" s="148">
        <v>300</v>
      </c>
      <c r="F8" s="148">
        <f t="shared" si="3"/>
        <v>-60</v>
      </c>
      <c r="G8" s="402">
        <f>SUMIFS('Cashbook ING'!B3:B3987, 'Cashbook ING'!A3:A3987, "BG_OfficeSupplies")</f>
        <v>-105.52000000000001</v>
      </c>
      <c r="H8" s="148">
        <f>SUMIFS('Cashbook Wix'!B2:B6979,'Cashbook Wix'!A2:A6979,"BG_OfficeSupplies")</f>
        <v>0</v>
      </c>
      <c r="I8" s="148">
        <v>0</v>
      </c>
      <c r="J8" s="302">
        <f t="shared" si="2"/>
        <v>-105.52000000000001</v>
      </c>
      <c r="K8" s="175">
        <f t="shared" si="0"/>
        <v>-45.52000000000001</v>
      </c>
    </row>
    <row r="9" spans="1:15" s="9" customFormat="1" ht="26" x14ac:dyDescent="0.3">
      <c r="A9" s="678"/>
      <c r="B9" s="458" t="s">
        <v>7467</v>
      </c>
      <c r="C9" s="432">
        <v>0</v>
      </c>
      <c r="D9" s="432">
        <v>0</v>
      </c>
      <c r="E9" s="148">
        <v>0</v>
      </c>
      <c r="F9" s="148">
        <f>D9+E9-C9</f>
        <v>0</v>
      </c>
      <c r="G9" s="402">
        <f>SUMIFS('Cashbook ING'!B4:B3988, 'Cashbook ING'!A4:A3988, "BG_")</f>
        <v>0</v>
      </c>
      <c r="H9" s="148">
        <f>SUMIFS('Cashbook ING'!B3:B6987, 'Cashbook ING'!A3:A6987, "BG_Sponsors")</f>
        <v>199.58999999999997</v>
      </c>
      <c r="I9" s="148">
        <v>0</v>
      </c>
      <c r="J9" s="302">
        <f t="shared" si="2"/>
        <v>199.58999999999997</v>
      </c>
      <c r="K9" s="175">
        <f t="shared" si="0"/>
        <v>199.58999999999997</v>
      </c>
    </row>
    <row r="10" spans="1:15" s="9" customFormat="1" ht="26" x14ac:dyDescent="0.3">
      <c r="A10" s="678"/>
      <c r="B10" s="458" t="s">
        <v>7468</v>
      </c>
      <c r="C10" s="432">
        <v>150</v>
      </c>
      <c r="D10" s="432">
        <v>0</v>
      </c>
      <c r="E10" s="148">
        <v>150</v>
      </c>
      <c r="F10" s="148">
        <f>D10+E10-C10</f>
        <v>0</v>
      </c>
      <c r="G10" s="402">
        <f>SUMIFS('Cashbook ING'!B3:B6987, 'Cashbook ING'!A3:A6987, "BG_Canva")</f>
        <v>-116.31</v>
      </c>
      <c r="H10" s="148">
        <f>SUMIFS('Cashbook Wix'!B2:B6979,'Cashbook Wix'!A2:A6979,"BG_Canva")</f>
        <v>0</v>
      </c>
      <c r="I10" s="432">
        <v>0</v>
      </c>
      <c r="J10" s="302">
        <f t="shared" si="2"/>
        <v>-116.31</v>
      </c>
      <c r="K10" s="175">
        <f t="shared" si="0"/>
        <v>-116.31</v>
      </c>
    </row>
    <row r="11" spans="1:15" s="9" customFormat="1" ht="26" x14ac:dyDescent="0.3">
      <c r="A11" s="678"/>
      <c r="B11" s="458" t="s">
        <v>7469</v>
      </c>
      <c r="C11" s="432">
        <v>50</v>
      </c>
      <c r="D11" s="432">
        <v>0</v>
      </c>
      <c r="E11" s="148">
        <v>0</v>
      </c>
      <c r="F11" s="148">
        <f>D11+E11-C11</f>
        <v>-50</v>
      </c>
      <c r="G11" s="402">
        <f>SUMIFS('Cashbook ING'!B3:B6987, 'Cashbook ING'!A3:A6987, "BG_Photos")</f>
        <v>0</v>
      </c>
      <c r="H11" s="148">
        <f>SUMIFS('Cashbook Wix'!B2:B6979,'Cashbook Wix'!A2:A6979,"BG_Photos")</f>
        <v>0</v>
      </c>
      <c r="I11" s="148">
        <v>0</v>
      </c>
      <c r="J11" s="302">
        <f t="shared" si="2"/>
        <v>0</v>
      </c>
      <c r="K11" s="175">
        <f t="shared" si="0"/>
        <v>50</v>
      </c>
    </row>
    <row r="12" spans="1:15" s="9" customFormat="1" ht="26" x14ac:dyDescent="0.3">
      <c r="A12" s="678"/>
      <c r="B12" s="458" t="s">
        <v>7470</v>
      </c>
      <c r="C12" s="432">
        <v>180</v>
      </c>
      <c r="D12" s="432">
        <v>0</v>
      </c>
      <c r="E12" s="148">
        <v>180</v>
      </c>
      <c r="F12" s="148">
        <f t="shared" si="3"/>
        <v>0</v>
      </c>
      <c r="G12" s="402">
        <f>SUMIFS('Cashbook ING'!B3:B6987, 'Cashbook ING'!A3:A6987, "BG_Domain")</f>
        <v>-222.16999999999996</v>
      </c>
      <c r="H12" s="148">
        <f>SUMIFS('Cashbook Wix'!B2:B6979,'Cashbook Wix'!A2:A6979,"BG_Domain")</f>
        <v>0</v>
      </c>
      <c r="I12" s="148">
        <v>0</v>
      </c>
      <c r="J12" s="302">
        <f t="shared" si="2"/>
        <v>-222.16999999999996</v>
      </c>
      <c r="K12" s="175">
        <f t="shared" si="0"/>
        <v>-222.16999999999996</v>
      </c>
    </row>
    <row r="13" spans="1:15" s="9" customFormat="1" ht="26" x14ac:dyDescent="0.3">
      <c r="A13" s="678"/>
      <c r="B13" s="459" t="s">
        <v>7471</v>
      </c>
      <c r="C13" s="432">
        <v>0</v>
      </c>
      <c r="D13" s="432">
        <v>200</v>
      </c>
      <c r="E13" s="148">
        <v>0</v>
      </c>
      <c r="F13" s="148">
        <f t="shared" si="3"/>
        <v>200</v>
      </c>
      <c r="G13" s="402">
        <v>0</v>
      </c>
      <c r="H13" s="148">
        <f>SUMIFS('Cashbook ING'!B3:B6987, 'Cashbook ING'!A3:A6987, "BG_DutchCourse")</f>
        <v>323</v>
      </c>
      <c r="I13" s="148">
        <v>0</v>
      </c>
      <c r="J13" s="302">
        <f t="shared" si="2"/>
        <v>323</v>
      </c>
      <c r="K13" s="175">
        <f t="shared" si="0"/>
        <v>123</v>
      </c>
    </row>
    <row r="14" spans="1:15" s="9" customFormat="1" ht="26" x14ac:dyDescent="0.3">
      <c r="A14" s="678"/>
      <c r="B14" s="458" t="s">
        <v>7472</v>
      </c>
      <c r="C14" s="432">
        <v>1500</v>
      </c>
      <c r="D14" s="432">
        <v>0</v>
      </c>
      <c r="E14" s="148">
        <v>1500</v>
      </c>
      <c r="F14" s="148">
        <f t="shared" si="3"/>
        <v>0</v>
      </c>
      <c r="G14" s="402">
        <f>SUMIFS('Cashbook ING'!B3:B6987, 'Cashbook ING'!A3:A6987, "BG_FirstAID")</f>
        <v>0</v>
      </c>
      <c r="H14" s="148">
        <f>SUMIFS('Cashbook Wix'!B2:B6979,'Cashbook Wix'!A2:A6979,"BG_FirstAID")</f>
        <v>0</v>
      </c>
      <c r="I14" s="148">
        <v>0</v>
      </c>
      <c r="J14" s="302">
        <f t="shared" si="2"/>
        <v>0</v>
      </c>
      <c r="K14" s="175">
        <f t="shared" si="0"/>
        <v>0</v>
      </c>
    </row>
    <row r="15" spans="1:15" s="9" customFormat="1" ht="26" x14ac:dyDescent="0.3">
      <c r="A15" s="678"/>
      <c r="B15" s="458" t="s">
        <v>7473</v>
      </c>
      <c r="C15" s="432">
        <v>0</v>
      </c>
      <c r="D15" s="432">
        <v>0</v>
      </c>
      <c r="E15" s="148">
        <v>0</v>
      </c>
      <c r="F15" s="148">
        <f t="shared" si="3"/>
        <v>0</v>
      </c>
      <c r="G15" s="402">
        <f>SUMIFS('Cashbook ING'!B3:B6987, 'Cashbook ING'!A3:A6987, "BG_BystanderTraining")</f>
        <v>0</v>
      </c>
      <c r="H15" s="148">
        <f>SUMIFS('Cashbook Wix'!B2:B6979,'Cashbook Wix'!A2:A6979,"BG_BystanderTraining")</f>
        <v>0</v>
      </c>
      <c r="I15" s="148">
        <v>0</v>
      </c>
      <c r="J15" s="302">
        <f t="shared" si="2"/>
        <v>0</v>
      </c>
      <c r="K15" s="175">
        <f t="shared" si="0"/>
        <v>0</v>
      </c>
    </row>
    <row r="16" spans="1:15" s="9" customFormat="1" ht="26" x14ac:dyDescent="0.3">
      <c r="A16" s="678"/>
      <c r="B16" s="458" t="s">
        <v>7474</v>
      </c>
      <c r="C16" s="432">
        <v>40</v>
      </c>
      <c r="D16" s="432">
        <v>0</v>
      </c>
      <c r="E16" s="432">
        <v>40</v>
      </c>
      <c r="F16" s="148">
        <f t="shared" si="3"/>
        <v>0</v>
      </c>
      <c r="G16" s="402">
        <f>SUMIFS('Cashbook ING'!B3:B6987, 'Cashbook ING'!A3:A6987, "BG_")</f>
        <v>0</v>
      </c>
      <c r="H16" s="148">
        <f>SUMIFS('Cashbook Wix'!B2:B6979,'Cashbook Wix'!A2:A6979,"BG_")</f>
        <v>0</v>
      </c>
      <c r="I16" s="148">
        <v>0</v>
      </c>
      <c r="J16" s="302">
        <f t="shared" si="2"/>
        <v>0</v>
      </c>
      <c r="K16" s="175">
        <f t="shared" si="0"/>
        <v>0</v>
      </c>
    </row>
    <row r="17" spans="1:11" s="9" customFormat="1" ht="26" x14ac:dyDescent="0.3">
      <c r="A17" s="678"/>
      <c r="B17" s="458" t="s">
        <v>7475</v>
      </c>
      <c r="C17" s="432">
        <v>400</v>
      </c>
      <c r="D17" s="432">
        <v>0</v>
      </c>
      <c r="E17" s="148">
        <v>360</v>
      </c>
      <c r="F17" s="148">
        <f t="shared" si="3"/>
        <v>-40</v>
      </c>
      <c r="G17" s="402">
        <f>SUMIFS('Cashbook ING'!B3:B6987, 'Cashbook ING'!A3:A6987, "BG_INGTransactionCosts")</f>
        <v>-466.40999999999991</v>
      </c>
      <c r="H17" s="148">
        <f>SUMIFS('Cashbook Wix'!B2:B6979,'Cashbook Wix'!A2:A6979,"BG_INGTransactionCosts")</f>
        <v>0</v>
      </c>
      <c r="I17" s="148">
        <v>0</v>
      </c>
      <c r="J17" s="302">
        <f t="shared" si="2"/>
        <v>-466.40999999999991</v>
      </c>
      <c r="K17" s="175">
        <f t="shared" si="0"/>
        <v>-426.40999999999991</v>
      </c>
    </row>
    <row r="18" spans="1:11" s="9" customFormat="1" ht="26" x14ac:dyDescent="0.3">
      <c r="A18" s="678"/>
      <c r="B18" s="458" t="s">
        <v>7476</v>
      </c>
      <c r="C18" s="432">
        <v>100</v>
      </c>
      <c r="D18" s="432">
        <v>0</v>
      </c>
      <c r="E18" s="148">
        <v>0</v>
      </c>
      <c r="F18" s="148">
        <f t="shared" ref="F18" si="4">D18+E18-C18</f>
        <v>-100</v>
      </c>
      <c r="G18" s="402">
        <f>SUMIFS('Cashbook ING'!B5:B6988, 'Cashbook ING'!A5:A6988, "BG_OldBoardAppreciation")</f>
        <v>0</v>
      </c>
      <c r="H18" s="148">
        <v>0</v>
      </c>
      <c r="I18" s="148">
        <v>0</v>
      </c>
      <c r="J18" s="302">
        <f t="shared" si="2"/>
        <v>0</v>
      </c>
      <c r="K18" s="175">
        <f t="shared" si="0"/>
        <v>100</v>
      </c>
    </row>
    <row r="19" spans="1:11" s="9" customFormat="1" ht="26" x14ac:dyDescent="0.3">
      <c r="A19" s="678"/>
      <c r="B19" s="459" t="s">
        <v>7453</v>
      </c>
      <c r="C19" s="432">
        <v>2000</v>
      </c>
      <c r="D19" s="432">
        <v>0</v>
      </c>
      <c r="E19" s="491">
        <v>0</v>
      </c>
      <c r="F19" s="148">
        <f t="shared" si="3"/>
        <v>-2000</v>
      </c>
      <c r="G19" s="402">
        <f>SUMIFS('Cashbook ING'!B3:B6987, 'Cashbook ING'!A3:A6987, "CurrenttoLustrum")</f>
        <v>0</v>
      </c>
      <c r="H19" s="148">
        <f>SUMIFS('Cashbook Wix'!B2:B6979,'Cashbook Wix'!A2:A6979,"BG_Lustrum")</f>
        <v>0</v>
      </c>
      <c r="I19" s="148">
        <v>0</v>
      </c>
      <c r="J19" s="302">
        <f t="shared" si="2"/>
        <v>0</v>
      </c>
      <c r="K19" s="175">
        <f t="shared" si="0"/>
        <v>2000</v>
      </c>
    </row>
    <row r="20" spans="1:11" s="9" customFormat="1" ht="26" x14ac:dyDescent="0.3">
      <c r="A20" s="678"/>
      <c r="B20" s="458" t="s">
        <v>7396</v>
      </c>
      <c r="C20" s="432">
        <v>363</v>
      </c>
      <c r="D20" s="432">
        <v>0</v>
      </c>
      <c r="E20" s="148">
        <v>360</v>
      </c>
      <c r="F20" s="148">
        <f t="shared" si="3"/>
        <v>-3</v>
      </c>
      <c r="G20" s="402">
        <f>SUMIFS('Cashbook ING'!B3:B6987, 'Cashbook ING'!A3:A6987, "BG_Moneybird")</f>
        <v>-393.25</v>
      </c>
      <c r="H20" s="148">
        <f>SUMIFS('Cashbook Wix'!B2:B6979,'Cashbook Wix'!A2:A6979,"BG_Moneybird")</f>
        <v>0</v>
      </c>
      <c r="I20" s="148">
        <v>0</v>
      </c>
      <c r="J20" s="302">
        <f t="shared" si="2"/>
        <v>-393.25</v>
      </c>
      <c r="K20" s="175">
        <f t="shared" si="0"/>
        <v>-390.25</v>
      </c>
    </row>
    <row r="21" spans="1:11" s="9" customFormat="1" ht="26" x14ac:dyDescent="0.3">
      <c r="A21" s="678"/>
      <c r="B21" s="460" t="s">
        <v>7477</v>
      </c>
      <c r="C21" s="432">
        <v>250</v>
      </c>
      <c r="D21" s="432">
        <v>0</v>
      </c>
      <c r="E21" s="148">
        <v>250</v>
      </c>
      <c r="F21" s="148">
        <f t="shared" si="3"/>
        <v>0</v>
      </c>
      <c r="G21" s="402">
        <f>SUMIFS('Cashbook ING'!B3:B6987, 'Cashbook ING'!A3:A6987, "BG_Transportation")</f>
        <v>0</v>
      </c>
      <c r="H21" s="148">
        <f>SUMIFS('Cashbook Wix'!B2:B6979,'Cashbook Wix'!A2:A6979,"BG_Transportation")</f>
        <v>0</v>
      </c>
      <c r="I21" s="148">
        <v>0</v>
      </c>
      <c r="J21" s="302">
        <f t="shared" si="2"/>
        <v>0</v>
      </c>
      <c r="K21" s="175">
        <f t="shared" si="0"/>
        <v>0</v>
      </c>
    </row>
    <row r="22" spans="1:11" s="9" customFormat="1" ht="26" x14ac:dyDescent="0.3">
      <c r="A22" s="678"/>
      <c r="B22" s="459" t="s">
        <v>7478</v>
      </c>
      <c r="C22" s="432">
        <v>2500</v>
      </c>
      <c r="D22" s="432">
        <v>0</v>
      </c>
      <c r="E22" s="148">
        <v>0</v>
      </c>
      <c r="F22" s="148">
        <f t="shared" ref="F22" si="5">D22+E22-C22</f>
        <v>-2500</v>
      </c>
      <c r="G22" s="402">
        <f>SUMIFS('Cashbook ING'!B1:B6986, 'Cashbook ING'!A1:A6986, "BG_Unforeseen_Cost")</f>
        <v>0</v>
      </c>
      <c r="H22" s="148">
        <v>0</v>
      </c>
      <c r="I22" s="148">
        <v>0</v>
      </c>
      <c r="J22" s="302">
        <f t="shared" si="2"/>
        <v>0</v>
      </c>
      <c r="K22" s="175">
        <f t="shared" si="0"/>
        <v>2500</v>
      </c>
    </row>
    <row r="23" spans="1:11" s="9" customFormat="1" ht="26" x14ac:dyDescent="0.3">
      <c r="A23" s="678"/>
      <c r="B23" s="459" t="s">
        <v>7479</v>
      </c>
      <c r="C23" s="432">
        <v>0</v>
      </c>
      <c r="D23" s="432">
        <v>0</v>
      </c>
      <c r="E23" s="148">
        <v>0</v>
      </c>
      <c r="F23" s="148">
        <f t="shared" si="3"/>
        <v>0</v>
      </c>
      <c r="G23" s="402">
        <v>0</v>
      </c>
      <c r="H23" s="148">
        <f>SUMIFS('Cashbook Wix'!B3:B6978, 'Cashbook Wix'!A3:A6978, "Memberships_24/25")</f>
        <v>134.76</v>
      </c>
      <c r="I23" s="148">
        <v>0</v>
      </c>
      <c r="J23" s="302">
        <f t="shared" si="2"/>
        <v>134.76</v>
      </c>
      <c r="K23" s="175">
        <f t="shared" si="0"/>
        <v>134.76</v>
      </c>
    </row>
    <row r="24" spans="1:11" s="9" customFormat="1" ht="26" x14ac:dyDescent="0.3">
      <c r="A24" s="678"/>
      <c r="B24" s="459" t="s">
        <v>7480</v>
      </c>
      <c r="C24" s="432">
        <v>100</v>
      </c>
      <c r="D24" s="432">
        <v>0</v>
      </c>
      <c r="E24" s="148">
        <v>100</v>
      </c>
      <c r="F24" s="148">
        <f t="shared" si="3"/>
        <v>0</v>
      </c>
      <c r="G24" s="402">
        <f>SUMIFS('Cashbook ING'!B3:B6987, 'Cashbook ING'!A3:A6987, "BG_ExcelCourse")</f>
        <v>0</v>
      </c>
      <c r="H24" s="148">
        <f>SUMIFS('Cashbook Wix'!B2:B6979,'Cashbook Wix'!A2:A6979,"BG_ExcelCourse")</f>
        <v>0</v>
      </c>
      <c r="I24" s="148">
        <v>0</v>
      </c>
      <c r="J24" s="302">
        <f t="shared" si="2"/>
        <v>0</v>
      </c>
      <c r="K24" s="175">
        <f t="shared" si="0"/>
        <v>0</v>
      </c>
    </row>
    <row r="25" spans="1:11" s="9" customFormat="1" ht="26" x14ac:dyDescent="0.3">
      <c r="A25" s="678"/>
      <c r="B25" s="459" t="s">
        <v>7481</v>
      </c>
      <c r="C25" s="148">
        <v>350</v>
      </c>
      <c r="D25" s="148">
        <v>0</v>
      </c>
      <c r="E25" s="148">
        <v>350</v>
      </c>
      <c r="F25" s="148">
        <f t="shared" ref="F25" si="6">D25+E25-C25</f>
        <v>0</v>
      </c>
      <c r="G25" s="402">
        <f>SUMIFS('Cashbook ING'!B4:B6988, 'Cashbook ING'!A4:A6988, "BG_WixEmail")</f>
        <v>-348.48</v>
      </c>
      <c r="H25" s="148">
        <f>SUMIFS('Cashbook Wix'!B3:B6980,'Cashbook Wix'!A3:A6980,"BG_WixEmail")</f>
        <v>0</v>
      </c>
      <c r="I25" s="148">
        <v>0</v>
      </c>
      <c r="J25" s="302">
        <f t="shared" si="2"/>
        <v>-348.48</v>
      </c>
      <c r="K25" s="175">
        <f t="shared" si="0"/>
        <v>-348.48</v>
      </c>
    </row>
    <row r="26" spans="1:11" s="9" customFormat="1" ht="26" x14ac:dyDescent="0.3">
      <c r="A26" s="678"/>
      <c r="B26" s="458" t="s">
        <v>7400</v>
      </c>
      <c r="C26" s="23">
        <v>401.41</v>
      </c>
      <c r="D26" s="148">
        <v>0</v>
      </c>
      <c r="E26" s="148">
        <v>401.41</v>
      </c>
      <c r="F26" s="148">
        <f t="shared" si="3"/>
        <v>0</v>
      </c>
      <c r="G26" s="402">
        <f>SUMIFS('Cashbook ING'!B3:B6987, 'Cashbook ING'!A3:A6987, "BG_Wix")</f>
        <v>-401.40999999999997</v>
      </c>
      <c r="H26" s="148">
        <f>SUMIFS('Cashbook Wix'!B4:B6981,'Cashbook Wix'!A4:A6981,"BG_Wix")</f>
        <v>0</v>
      </c>
      <c r="I26" s="432">
        <v>0</v>
      </c>
      <c r="J26" s="302">
        <f t="shared" si="2"/>
        <v>-401.40999999999997</v>
      </c>
      <c r="K26" s="175">
        <f t="shared" si="0"/>
        <v>-401.40999999999997</v>
      </c>
    </row>
    <row r="27" spans="1:11" s="203" customFormat="1" ht="29" x14ac:dyDescent="0.35">
      <c r="A27" s="678"/>
      <c r="B27" s="461" t="s">
        <v>7482</v>
      </c>
      <c r="C27" s="303">
        <f t="shared" ref="C27:K27" si="7">SUM(C3:C26)</f>
        <v>8956.91</v>
      </c>
      <c r="D27" s="303">
        <f t="shared" si="7"/>
        <v>4017.55</v>
      </c>
      <c r="E27" s="492">
        <f t="shared" si="7"/>
        <v>4003.91</v>
      </c>
      <c r="F27" s="303">
        <f t="shared" si="7"/>
        <v>-935.44999999999982</v>
      </c>
      <c r="G27" s="403">
        <f>SUM(G3:G26)</f>
        <v>-37222.75</v>
      </c>
      <c r="H27" s="303">
        <f t="shared" si="7"/>
        <v>13063.16</v>
      </c>
      <c r="I27" s="303">
        <f t="shared" si="7"/>
        <v>27596.22</v>
      </c>
      <c r="J27" s="399">
        <f>SUM(J3:J26)</f>
        <v>3436.6300000000024</v>
      </c>
      <c r="K27" s="304">
        <f t="shared" si="7"/>
        <v>4372.08</v>
      </c>
    </row>
    <row r="28" spans="1:11" s="9" customFormat="1" ht="26" x14ac:dyDescent="0.3">
      <c r="A28" s="679" t="s">
        <v>7483</v>
      </c>
      <c r="B28" s="630" t="s">
        <v>7484</v>
      </c>
      <c r="C28" s="432">
        <v>350</v>
      </c>
      <c r="D28" s="148">
        <v>0</v>
      </c>
      <c r="E28" s="148">
        <v>300</v>
      </c>
      <c r="F28" s="148">
        <f>D28+E28-C28</f>
        <v>-50</v>
      </c>
      <c r="G28" s="402">
        <f>SUMIFS('Cashbook ING'!B3:B6987, 'Cashbook ING'!A3:A6987, "BE_Meetings")</f>
        <v>-233.67</v>
      </c>
      <c r="H28" s="148">
        <f>SUMIFS('Cashbook Wix'!$B$2:$B$6979,'Cashbook Wix'!$A$2:$A$6979,"BE_Meetings")</f>
        <v>0</v>
      </c>
      <c r="I28" s="148">
        <v>0</v>
      </c>
      <c r="J28" s="302">
        <f t="shared" ref="J28:J46" si="8">H28+I28+G28</f>
        <v>-233.67</v>
      </c>
      <c r="K28" s="175">
        <f>J28-F28</f>
        <v>-183.67</v>
      </c>
    </row>
    <row r="29" spans="1:11" s="9" customFormat="1" ht="26" x14ac:dyDescent="0.3">
      <c r="A29" s="680"/>
      <c r="B29" s="630" t="s">
        <v>7485</v>
      </c>
      <c r="C29" s="432">
        <v>664.82</v>
      </c>
      <c r="D29" s="148">
        <v>0</v>
      </c>
      <c r="E29" s="148">
        <v>664.82</v>
      </c>
      <c r="F29" s="148">
        <f t="shared" ref="F29:F46" si="9">D29+E29-C29</f>
        <v>0</v>
      </c>
      <c r="G29" s="402">
        <f>SUMIFS('Cashbook ING'!B3:B6987, 'Cashbook ING'!A3:A6987, "BE_Weekend_Nov")</f>
        <v>-664.82</v>
      </c>
      <c r="H29" s="148">
        <f>SUMIFS('Cashbook Wix'!$B$2:$B$6979,'Cashbook Wix'!$A$2:$A$6979,"BE_Weekend_Oct")</f>
        <v>0</v>
      </c>
      <c r="I29" s="657">
        <v>700</v>
      </c>
      <c r="J29" s="302">
        <f t="shared" si="8"/>
        <v>35.17999999999995</v>
      </c>
      <c r="K29" s="175">
        <f t="shared" ref="K29:K46" si="10">J29-F29</f>
        <v>35.17999999999995</v>
      </c>
    </row>
    <row r="30" spans="1:11" s="16" customFormat="1" ht="26" x14ac:dyDescent="0.3">
      <c r="A30" s="680"/>
      <c r="B30" s="631" t="s">
        <v>7486</v>
      </c>
      <c r="C30" s="432">
        <v>750</v>
      </c>
      <c r="D30" s="148">
        <v>0</v>
      </c>
      <c r="E30" s="148">
        <v>735</v>
      </c>
      <c r="F30" s="148">
        <f t="shared" si="9"/>
        <v>-15</v>
      </c>
      <c r="G30" s="402">
        <f>SUMIFS('Cashbook ING'!B3:B6987, 'Cashbook ING'!A3:A6987, "BE_Weekend_Jan")</f>
        <v>-847.72</v>
      </c>
      <c r="H30" s="148">
        <f>SUMIFS('Cashbook Wix'!$B$2:$B$6979,'Cashbook Wix'!$A$2:$A$6979,"BE_Weekend_Jan")</f>
        <v>0</v>
      </c>
      <c r="I30" s="657">
        <v>700</v>
      </c>
      <c r="J30" s="302">
        <f t="shared" si="8"/>
        <v>-147.72000000000003</v>
      </c>
      <c r="K30" s="175">
        <f t="shared" si="10"/>
        <v>-132.72000000000003</v>
      </c>
    </row>
    <row r="31" spans="1:11" s="16" customFormat="1" ht="26" x14ac:dyDescent="0.3">
      <c r="A31" s="680"/>
      <c r="B31" s="631" t="s">
        <v>7487</v>
      </c>
      <c r="C31" s="432">
        <v>750</v>
      </c>
      <c r="D31" s="148">
        <v>0</v>
      </c>
      <c r="E31" s="148">
        <v>700</v>
      </c>
      <c r="F31" s="148">
        <f t="shared" si="9"/>
        <v>-50</v>
      </c>
      <c r="G31" s="402">
        <f>SUMIFS('Cashbook ING'!B3:B6987, 'Cashbook ING'!A3:A6987, "BE_Weekend_May")</f>
        <v>-729.43000000000006</v>
      </c>
      <c r="H31" s="148">
        <f>SUMIFS('Cashbook Wix'!$B$2:$B$6979,'Cashbook Wix'!$A$2:$A$6979,"BE_Weekend_May")</f>
        <v>0</v>
      </c>
      <c r="I31" s="657">
        <v>700</v>
      </c>
      <c r="J31" s="302">
        <f t="shared" si="8"/>
        <v>-29.430000000000064</v>
      </c>
      <c r="K31" s="175">
        <f t="shared" si="10"/>
        <v>20.569999999999936</v>
      </c>
    </row>
    <row r="32" spans="1:11" s="16" customFormat="1" ht="26" x14ac:dyDescent="0.3">
      <c r="A32" s="680"/>
      <c r="B32" s="631" t="s">
        <v>7488</v>
      </c>
      <c r="C32" s="432">
        <v>1000</v>
      </c>
      <c r="D32" s="148">
        <v>0</v>
      </c>
      <c r="E32" s="148">
        <v>900</v>
      </c>
      <c r="F32" s="148">
        <f t="shared" si="9"/>
        <v>-100</v>
      </c>
      <c r="G32" s="402">
        <f>SUMIFS('Cashbook ING'!B3:B6987, 'Cashbook ING'!A3:A6987, "BE_Weekend_Transition")</f>
        <v>-1142.98</v>
      </c>
      <c r="H32" s="148">
        <f>SUMIFS('Cashbook ING'!B3:B6987, 'Cashbook ING'!A3:A6987, "BE_Weekend_TransitionIncome")</f>
        <v>0</v>
      </c>
      <c r="I32" s="657">
        <v>900</v>
      </c>
      <c r="J32" s="302">
        <f t="shared" si="8"/>
        <v>-242.98000000000002</v>
      </c>
      <c r="K32" s="175">
        <f t="shared" si="10"/>
        <v>-142.98000000000002</v>
      </c>
    </row>
    <row r="33" spans="1:11" s="16" customFormat="1" ht="26" x14ac:dyDescent="0.3">
      <c r="A33" s="680"/>
      <c r="B33" s="630" t="s">
        <v>7489</v>
      </c>
      <c r="C33" s="432">
        <v>700</v>
      </c>
      <c r="D33" s="148">
        <v>0</v>
      </c>
      <c r="E33" s="148">
        <v>600</v>
      </c>
      <c r="F33" s="148">
        <f>D33+E33-C33</f>
        <v>-100</v>
      </c>
      <c r="G33" s="402">
        <f>SUMIFS('Cashbook ING'!B3:B6987, 'Cashbook ING'!A3:A6987, "BE_COBO")</f>
        <v>-706.73</v>
      </c>
      <c r="H33" s="148">
        <f>SUMIFS('Cashbook Wix'!$B$2:$B$6979,'Cashbook Wix'!$A$2:$A$6979,"BE_")</f>
        <v>0</v>
      </c>
      <c r="I33" s="148">
        <v>0</v>
      </c>
      <c r="J33" s="302">
        <f t="shared" si="8"/>
        <v>-706.73</v>
      </c>
      <c r="K33" s="175">
        <f t="shared" si="10"/>
        <v>-606.73</v>
      </c>
    </row>
    <row r="34" spans="1:11" s="16" customFormat="1" ht="26" x14ac:dyDescent="0.3">
      <c r="A34" s="680"/>
      <c r="B34" s="630" t="s">
        <v>7490</v>
      </c>
      <c r="C34" s="432">
        <v>550</v>
      </c>
      <c r="D34" s="148">
        <v>0</v>
      </c>
      <c r="E34" s="148">
        <v>0</v>
      </c>
      <c r="F34" s="148">
        <f t="shared" si="9"/>
        <v>-550</v>
      </c>
      <c r="G34" s="402">
        <f>SUMIFS('Cashbook ING'!B3:B6987, 'Cashbook ING'!A3:A6987, "BE_Committee_Appreciation")</f>
        <v>-541.6</v>
      </c>
      <c r="H34" s="148">
        <f>SUMIFS('Cashbook Wix'!$B$2:$B$6979,'Cashbook Wix'!$A$2:$A$6979,"BE_Commitee_Appreciation")</f>
        <v>0</v>
      </c>
      <c r="I34" s="148">
        <v>0</v>
      </c>
      <c r="J34" s="302">
        <f t="shared" si="8"/>
        <v>-541.6</v>
      </c>
      <c r="K34" s="175">
        <f t="shared" si="10"/>
        <v>8.3999999999999773</v>
      </c>
    </row>
    <row r="35" spans="1:11" s="16" customFormat="1" ht="26" x14ac:dyDescent="0.3">
      <c r="A35" s="680"/>
      <c r="B35" s="631" t="s">
        <v>7491</v>
      </c>
      <c r="C35" s="432">
        <v>45</v>
      </c>
      <c r="D35" s="148">
        <v>0</v>
      </c>
      <c r="E35" s="148">
        <v>0</v>
      </c>
      <c r="F35" s="148">
        <f t="shared" si="9"/>
        <v>-45</v>
      </c>
      <c r="G35" s="402">
        <f>SUMIFS('Cashbook ING'!B3:B6987, 'Cashbook ING'!A3:A6987, "BE_Committee_Workshop")</f>
        <v>-74.460000000000008</v>
      </c>
      <c r="H35" s="148">
        <f>SUMIFS('Cashbook Wix'!$B$2:$B$6979,'Cashbook Wix'!$A$2:$A$6979,"BE_")</f>
        <v>0</v>
      </c>
      <c r="I35" s="148">
        <v>0</v>
      </c>
      <c r="J35" s="302">
        <f t="shared" si="8"/>
        <v>-74.460000000000008</v>
      </c>
      <c r="K35" s="175">
        <f t="shared" si="10"/>
        <v>-29.460000000000008</v>
      </c>
    </row>
    <row r="36" spans="1:11" s="16" customFormat="1" ht="26" x14ac:dyDescent="0.3">
      <c r="A36" s="680"/>
      <c r="B36" s="631" t="s">
        <v>7492</v>
      </c>
      <c r="C36" s="432">
        <v>750</v>
      </c>
      <c r="D36" s="148">
        <v>0</v>
      </c>
      <c r="E36" s="148">
        <v>500</v>
      </c>
      <c r="F36" s="148">
        <f t="shared" si="9"/>
        <v>-250</v>
      </c>
      <c r="G36" s="402">
        <f>SUMIFS('Cashbook ING'!B3:B6987, 'Cashbook ING'!A3:A6987, "BE_GA")</f>
        <v>-372.90999999999997</v>
      </c>
      <c r="H36" s="148">
        <f>SUMIFS('Cashbook Wix'!$B$2:$B$6979,'Cashbook Wix'!$A$2:$A$6979,"BE_")</f>
        <v>0</v>
      </c>
      <c r="I36" s="148">
        <v>0</v>
      </c>
      <c r="J36" s="302">
        <f t="shared" si="8"/>
        <v>-372.90999999999997</v>
      </c>
      <c r="K36" s="175">
        <f t="shared" si="10"/>
        <v>-122.90999999999997</v>
      </c>
    </row>
    <row r="37" spans="1:11" s="16" customFormat="1" ht="26" x14ac:dyDescent="0.3">
      <c r="A37" s="680"/>
      <c r="B37" s="630" t="s">
        <v>7493</v>
      </c>
      <c r="C37" s="432">
        <v>100</v>
      </c>
      <c r="D37" s="148">
        <v>0</v>
      </c>
      <c r="E37" s="148">
        <v>0</v>
      </c>
      <c r="F37" s="148">
        <f t="shared" si="9"/>
        <v>-100</v>
      </c>
      <c r="G37" s="402">
        <f>SUMIFS('Cashbook ING'!B3:B6987, 'Cashbook ING'!A3:A6987, "BE_MemberAppreciation")
+SUMIFS('Cashbook ING'!B3:B6987, 'Cashbook ING'!A3:A6987, "BE_Potluck")</f>
        <v>-39.93</v>
      </c>
      <c r="H37" s="148">
        <f>SUMIFS('Cashbook Wix'!$B$2:$B$6979,'Cashbook Wix'!$A$2:$A$6979,"BE_MemberAppreciation")</f>
        <v>0</v>
      </c>
      <c r="I37" s="148">
        <v>0</v>
      </c>
      <c r="J37" s="302">
        <f>H37+I37+G37</f>
        <v>-39.93</v>
      </c>
      <c r="K37" s="175">
        <f>J37-F37</f>
        <v>60.07</v>
      </c>
    </row>
    <row r="38" spans="1:11" s="16" customFormat="1" ht="26" x14ac:dyDescent="0.3">
      <c r="A38" s="680"/>
      <c r="B38" s="630" t="s">
        <v>7494</v>
      </c>
      <c r="C38" s="432">
        <v>115</v>
      </c>
      <c r="D38" s="148">
        <v>0</v>
      </c>
      <c r="E38" s="148">
        <v>0</v>
      </c>
      <c r="F38" s="148">
        <f t="shared" si="9"/>
        <v>-115</v>
      </c>
      <c r="G38" s="525">
        <f>SUMIFS('Cashbook ING'!B5:B6989, 'Cashbook ING'!A5:A6989, "BE_ElectionNight_Costs")</f>
        <v>-225</v>
      </c>
      <c r="H38" s="148">
        <f>SUMIFS('Cashbook Wix'!$B$2:$B$6979, 'Cashbook Wix'!$A$2:$A$6979,"BE_ElectionNight_NonMember")+SUMIFS('Cashbook Wix'!$B$2:$B$6979, 'Cashbook Wix'!$A$2:$A$6979, "BE_ElectionNight_Member")</f>
        <v>109.94000000000001</v>
      </c>
      <c r="I38" s="148">
        <v>0</v>
      </c>
      <c r="J38" s="302">
        <f t="shared" ref="J38:J42" si="11">H38+I38+G38</f>
        <v>-115.05999999999999</v>
      </c>
      <c r="K38" s="175">
        <f t="shared" ref="K38:K42" si="12">J38-F38</f>
        <v>-5.9999999999988063E-2</v>
      </c>
    </row>
    <row r="39" spans="1:11" s="16" customFormat="1" ht="26" x14ac:dyDescent="0.3">
      <c r="A39" s="680"/>
      <c r="B39" s="630" t="s">
        <v>7407</v>
      </c>
      <c r="C39" s="432">
        <v>500</v>
      </c>
      <c r="D39" s="148">
        <v>0</v>
      </c>
      <c r="E39" s="148">
        <v>500</v>
      </c>
      <c r="F39" s="148">
        <f t="shared" si="9"/>
        <v>0</v>
      </c>
      <c r="G39" s="402">
        <f>SUMIFS('Cashbook ING'!B6:B6990, 'Cashbook ING'!A6:A6990, "BE_SpringBoard")</f>
        <v>-269.82</v>
      </c>
      <c r="H39" s="148">
        <f>SUMIFS('Cashbook Wix'!$B$2:$B$6979,'Cashbook Wix'!$A$2:$A$6979,"BE_")</f>
        <v>0</v>
      </c>
      <c r="I39" s="148">
        <v>0</v>
      </c>
      <c r="J39" s="302">
        <f t="shared" si="11"/>
        <v>-269.82</v>
      </c>
      <c r="K39" s="175">
        <f t="shared" si="12"/>
        <v>-269.82</v>
      </c>
    </row>
    <row r="40" spans="1:11" s="16" customFormat="1" ht="26" x14ac:dyDescent="0.3">
      <c r="A40" s="680"/>
      <c r="B40" s="630" t="s">
        <v>7495</v>
      </c>
      <c r="C40" s="432">
        <v>600</v>
      </c>
      <c r="D40" s="148">
        <v>570</v>
      </c>
      <c r="E40" s="148">
        <v>0</v>
      </c>
      <c r="F40" s="148">
        <f t="shared" si="9"/>
        <v>-30</v>
      </c>
      <c r="G40" s="402">
        <f>SUMIFS('Cashbook ING'!B5:B6989, 'Cashbook ING'!A5:A6989, "BE_BoardBorrel_PPE_Costs")</f>
        <v>-240</v>
      </c>
      <c r="H40" s="148">
        <f>SUMIFS('Cashbook Wix'!$B$2:$B$6979, 'Cashbook Wix'!$A$2:$A$6979,"BE_BoardBorrel_PPE_NonMember")+SUMIFS('Cashbook Wix'!$B$2:$B$6979, 'Cashbook Wix'!$A$2:$A$6979, "BE_BoardBorrel_PPE_Member")</f>
        <v>144.38999999999996</v>
      </c>
      <c r="I40" s="148">
        <v>0</v>
      </c>
      <c r="J40" s="302">
        <f t="shared" si="11"/>
        <v>-95.610000000000042</v>
      </c>
      <c r="K40" s="175">
        <f t="shared" si="12"/>
        <v>-65.610000000000042</v>
      </c>
    </row>
    <row r="41" spans="1:11" s="16" customFormat="1" ht="26" x14ac:dyDescent="0.3">
      <c r="A41" s="680"/>
      <c r="B41" s="630" t="s">
        <v>7496</v>
      </c>
      <c r="C41" s="432">
        <v>210</v>
      </c>
      <c r="D41" s="148">
        <v>87.5</v>
      </c>
      <c r="E41" s="148">
        <v>0</v>
      </c>
      <c r="F41" s="148">
        <f>D41+E41-C41</f>
        <v>-122.5</v>
      </c>
      <c r="G41" s="402">
        <f>SUMIFS('Cashbook ING'!B6:B6990, 'Cashbook ING'!A6:A6990, "BE_BoardBorrel_MAA_Tokens")</f>
        <v>-125</v>
      </c>
      <c r="H41" s="148">
        <f>SUMIFS('Cashbook Wix'!$B$2:$B$6979,'Cashbook Wix'!$A$2:$A$6979,"BE_BoardBorrel_MAA_Member")
+SUMIFS('Cashbook Wix'!$B$2:$B$6979,'Cashbook Wix'!$A$2:$A$6979,"BE_BoardBorrel_MAA_NonMember")</f>
        <v>48.160000000000011</v>
      </c>
      <c r="I41" s="148">
        <v>0</v>
      </c>
      <c r="J41" s="302">
        <f t="shared" si="11"/>
        <v>-76.839999999999989</v>
      </c>
      <c r="K41" s="175">
        <f t="shared" si="12"/>
        <v>45.660000000000011</v>
      </c>
    </row>
    <row r="42" spans="1:11" s="16" customFormat="1" ht="26" x14ac:dyDescent="0.3">
      <c r="A42" s="680"/>
      <c r="B42" s="630" t="s">
        <v>7497</v>
      </c>
      <c r="C42" s="432">
        <f>500</f>
        <v>500</v>
      </c>
      <c r="D42" s="148">
        <f>500</f>
        <v>500</v>
      </c>
      <c r="E42" s="148">
        <v>0</v>
      </c>
      <c r="F42" s="148">
        <f>D42+E42-C42</f>
        <v>0</v>
      </c>
      <c r="G42" s="402">
        <f>SUMIFS('Cashbook ING'!B7:B6991, 'Cashbook ING'!A7:A6991, "BE_")</f>
        <v>0</v>
      </c>
      <c r="H42" s="148">
        <f>SUMIFS('Cashbook Wix'!$B$2:$B$6979,'Cashbook Wix'!$A$2:$A$6979,"BE_")</f>
        <v>0</v>
      </c>
      <c r="I42" s="148">
        <v>0</v>
      </c>
      <c r="J42" s="302">
        <f t="shared" si="11"/>
        <v>0</v>
      </c>
      <c r="K42" s="175">
        <f t="shared" si="12"/>
        <v>0</v>
      </c>
    </row>
    <row r="43" spans="1:11" s="16" customFormat="1" ht="26" x14ac:dyDescent="0.3">
      <c r="A43" s="680"/>
      <c r="B43" s="630" t="s">
        <v>7498</v>
      </c>
      <c r="C43" s="432">
        <f>700-30</f>
        <v>670</v>
      </c>
      <c r="D43" s="148">
        <v>670</v>
      </c>
      <c r="E43" s="148">
        <v>0</v>
      </c>
      <c r="F43" s="148">
        <f t="shared" si="9"/>
        <v>0</v>
      </c>
      <c r="G43" s="402">
        <f>SUMIFS('Cashbook ING'!B4:B6988, 'Cashbook ING'!A4:A6988, "BE_Borrel1_Drinks")</f>
        <v>-769.25</v>
      </c>
      <c r="H43" s="148">
        <f>SUMIFS('Cashbook Wix'!$B$2:$B$6979, 'Cashbook Wix'!$A$2:$A$6979, "BE_Borrel1_Member")
+SUMIFS('Cashbook Wix'!$B$2:$B$6979, 'Cashbook Wix'!$A$2:$A$6979, "BE_Borrel1_NonMember")</f>
        <v>711.44000000000028</v>
      </c>
      <c r="I43" s="148">
        <v>0</v>
      </c>
      <c r="J43" s="302">
        <f>H43+I43+G43</f>
        <v>-57.809999999999718</v>
      </c>
      <c r="K43" s="175">
        <f>J43-F43</f>
        <v>-57.809999999999718</v>
      </c>
    </row>
    <row r="44" spans="1:11" s="16" customFormat="1" ht="26" x14ac:dyDescent="0.3">
      <c r="A44" s="680"/>
      <c r="B44" s="630" t="s">
        <v>7499</v>
      </c>
      <c r="C44" s="432">
        <f>620-8.4-67.62</f>
        <v>543.98</v>
      </c>
      <c r="D44" s="148">
        <v>540</v>
      </c>
      <c r="E44" s="148">
        <v>0</v>
      </c>
      <c r="F44" s="148">
        <f t="shared" si="9"/>
        <v>-3.9800000000000182</v>
      </c>
      <c r="G44" s="402">
        <f>SUMIFS('Cashbook ING'!B5:B6989, 'Cashbook ING'!A5:A6989, "BE_Borrel2_Drinks")</f>
        <v>-909.5</v>
      </c>
      <c r="H44" s="148">
        <f>SUMIFS('Cashbook Wix'!$B$2:$B$6979, 'Cashbook Wix'!$A$2:$A$6979, "BE_Borrel2_Member")
+SUMIFS('Cashbook Wix'!$B$2:$B$6979, 'Cashbook Wix'!$A$2:$A$6979, "BE_Borrel2_NonMember")</f>
        <v>597.08999999999992</v>
      </c>
      <c r="I44" s="148">
        <v>0</v>
      </c>
      <c r="J44" s="302">
        <f>H44+I44+G44</f>
        <v>-312.41000000000008</v>
      </c>
      <c r="K44" s="175">
        <f>J44-F44</f>
        <v>-308.43000000000006</v>
      </c>
    </row>
    <row r="45" spans="1:11" s="16" customFormat="1" ht="26" x14ac:dyDescent="0.3">
      <c r="A45" s="680"/>
      <c r="B45" s="630" t="s">
        <v>7451</v>
      </c>
      <c r="C45" s="432">
        <v>3540</v>
      </c>
      <c r="D45" s="148">
        <v>3580</v>
      </c>
      <c r="E45" s="148">
        <v>0</v>
      </c>
      <c r="F45" s="148">
        <f t="shared" si="9"/>
        <v>40</v>
      </c>
      <c r="G45" s="402">
        <f>SUMIFS('Cashbook ING'!B10:B6994, 'Cashbook ING'!A10:A6994, "BE_IntroParty_Rent")</f>
        <v>-3000</v>
      </c>
      <c r="H45" s="148">
        <f>SUMIFS('Cashbook Wix'!$B$2:$B$7012, 'Cashbook Wix'!$A$2:$A$7012, "BE_IntroParty_Member")
+SUMIFS('Cashbook Wix'!$B$2:$B$7012, 'Cashbook Wix'!$A$2:$A$7012, "BE_IntroParty_NonMember")
+SUMIFS('Cashbook ING'!$B$2:$B$7021, 'Cashbook ING'!$A$2:$A$7021, "BE_IntroParty_OtherAssociation")</f>
        <v>1606.5500000000002</v>
      </c>
      <c r="I45" s="148">
        <v>0</v>
      </c>
      <c r="J45" s="302">
        <f>H45+I45+G45</f>
        <v>-1393.4499999999998</v>
      </c>
      <c r="K45" s="175">
        <f>J45-F45</f>
        <v>-1433.4499999999998</v>
      </c>
    </row>
    <row r="46" spans="1:11" s="16" customFormat="1" ht="26" x14ac:dyDescent="0.3">
      <c r="A46" s="680"/>
      <c r="B46" s="630" t="s">
        <v>7500</v>
      </c>
      <c r="C46" s="432">
        <v>600</v>
      </c>
      <c r="D46" s="148">
        <v>570</v>
      </c>
      <c r="E46" s="148">
        <v>0</v>
      </c>
      <c r="F46" s="148">
        <f t="shared" si="9"/>
        <v>-30</v>
      </c>
      <c r="G46" s="402">
        <f>SUMIFS('Cashbook ING'!B3:B6987, 'Cashbook ING'!A3:A6987, "BE_Borrel3_Rent")
+SUMIFS('Cashbook ING'!B3:B6987, 'Cashbook ING'!A3:A6987, "BE_Borrel3_Drinks")
+SUMIFS('Cashbook ING'!B3:B6987, 'Cashbook ING'!A3:A6987, "BE_Borrel3_Supplies")</f>
        <v>-1074.04</v>
      </c>
      <c r="H46" s="148">
        <f>SUMIFS('Cashbook Wix'!$B$2:$B$6979,'Cashbook Wix'!$A$2:$A$6979,"BE_Borrel3_Member")
+SUMIFS('Cashbook Wix'!$B$2:$B$6979,'Cashbook Wix'!$A$2:$A$6979,"BE_Borrel3_NonMember")
+SUMIFS('Cashbook ING'!$B$2:$B$6988,'Cashbook ING'!$A$2:$A$6988,"BE_Borrel3_OtherAssociations")
+SUMIFS('Cashbook Wix'!$B$2:$B$6979, 'Cashbook Wix'!$A$2:$A$6979, "BE_Borrel3_NonMember")</f>
        <v>1150.5499999999993</v>
      </c>
      <c r="I46" s="148">
        <v>0</v>
      </c>
      <c r="J46" s="302">
        <f t="shared" si="8"/>
        <v>76.509999999999309</v>
      </c>
      <c r="K46" s="175">
        <f t="shared" si="10"/>
        <v>106.50999999999931</v>
      </c>
    </row>
    <row r="47" spans="1:11" s="204" customFormat="1" ht="29" x14ac:dyDescent="0.35">
      <c r="A47" s="680"/>
      <c r="B47" s="462" t="s">
        <v>7482</v>
      </c>
      <c r="C47" s="305">
        <f t="shared" ref="C47:K47" si="13">SUM(C28:C46)</f>
        <v>12938.8</v>
      </c>
      <c r="D47" s="305">
        <f t="shared" si="13"/>
        <v>6517.5</v>
      </c>
      <c r="E47" s="493">
        <f t="shared" si="13"/>
        <v>4899.82</v>
      </c>
      <c r="F47" s="305">
        <f t="shared" si="13"/>
        <v>-1521.48</v>
      </c>
      <c r="G47" s="401">
        <f>SUM(G28:G46)</f>
        <v>-11966.86</v>
      </c>
      <c r="H47" s="305">
        <f t="shared" si="13"/>
        <v>4368.12</v>
      </c>
      <c r="I47" s="305">
        <f t="shared" si="13"/>
        <v>3000</v>
      </c>
      <c r="J47" s="400">
        <f>SUM(J28:J46)</f>
        <v>-4598.7400000000007</v>
      </c>
      <c r="K47" s="306">
        <f t="shared" si="13"/>
        <v>-3077.26</v>
      </c>
    </row>
    <row r="48" spans="1:11" s="205" customFormat="1" ht="31" x14ac:dyDescent="0.35">
      <c r="A48" s="680"/>
      <c r="B48" s="463" t="s">
        <v>7501</v>
      </c>
      <c r="C48" s="404">
        <f>C27+C47</f>
        <v>21895.71</v>
      </c>
      <c r="D48" s="404">
        <f>D27+D47</f>
        <v>10535.05</v>
      </c>
      <c r="E48" s="404">
        <f>E27+E47</f>
        <v>8903.73</v>
      </c>
      <c r="F48" s="404">
        <f>D48+E48-C48</f>
        <v>-2456.9300000000003</v>
      </c>
      <c r="G48" s="405">
        <f>SUM(G27,G47)</f>
        <v>-49189.61</v>
      </c>
      <c r="H48" s="404">
        <f>SUM(H27,H47)</f>
        <v>17431.28</v>
      </c>
      <c r="I48" s="404">
        <f>SUM(I27,I47)</f>
        <v>30596.22</v>
      </c>
      <c r="J48" s="406">
        <f>SUM(J27,J47)</f>
        <v>-1162.1099999999983</v>
      </c>
      <c r="K48" s="407">
        <f>SUM(K27,K47)</f>
        <v>1294.8199999999997</v>
      </c>
    </row>
    <row r="49" spans="2:11" s="21" customFormat="1" ht="26" x14ac:dyDescent="0.3">
      <c r="B49" s="9"/>
      <c r="C49" s="9"/>
      <c r="D49" s="9"/>
      <c r="E49" s="9"/>
      <c r="F49" s="22"/>
      <c r="G49" s="22"/>
      <c r="H49" s="22"/>
      <c r="I49" s="22"/>
      <c r="J49" s="9"/>
      <c r="K49" s="9"/>
    </row>
    <row r="50" spans="2:11" s="9" customFormat="1" ht="26" x14ac:dyDescent="0.3">
      <c r="B50" s="21"/>
      <c r="C50"/>
      <c r="D50"/>
      <c r="E50" s="8"/>
      <c r="F50" s="1"/>
      <c r="G50" s="1"/>
      <c r="H50" s="1"/>
      <c r="I50" s="1"/>
      <c r="J50"/>
      <c r="K50"/>
    </row>
    <row r="51" spans="2:11" x14ac:dyDescent="0.2">
      <c r="F51" s="1"/>
      <c r="G51" s="1"/>
      <c r="H51" s="128"/>
      <c r="I51" s="1"/>
    </row>
  </sheetData>
  <sortState xmlns:xlrd2="http://schemas.microsoft.com/office/spreadsheetml/2017/richdata2" ref="B28:K37">
    <sortCondition ref="B28:B37"/>
  </sortState>
  <mergeCells count="6">
    <mergeCell ref="I1:K1"/>
    <mergeCell ref="A3:A27"/>
    <mergeCell ref="A28:A48"/>
    <mergeCell ref="B1:B2"/>
    <mergeCell ref="A1:A2"/>
    <mergeCell ref="C1:H1"/>
  </mergeCells>
  <conditionalFormatting sqref="A1:C1 I1:K1 A2 H2 C3:K48">
    <cfRule type="cellIs" dxfId="108" priority="1" operator="lessThan">
      <formula>0</formula>
    </cfRule>
  </conditionalFormatting>
  <conditionalFormatting sqref="E50">
    <cfRule type="cellIs" dxfId="107" priority="20" operator="lessThan">
      <formula>0</formula>
    </cfRule>
  </conditionalFormatting>
  <conditionalFormatting sqref="N4:N6">
    <cfRule type="cellIs" dxfId="106" priority="10" operator="lessThan">
      <formula>0</formula>
    </cfRule>
  </conditionalFormatting>
  <pageMargins left="0.7" right="0.7" top="0.78740157499999996" bottom="0.78740157499999996"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1E2ED"/>
  </sheetPr>
  <dimension ref="A1:K5"/>
  <sheetViews>
    <sheetView zoomScale="80" workbookViewId="0">
      <selection activeCell="H16" sqref="H16"/>
    </sheetView>
  </sheetViews>
  <sheetFormatPr baseColWidth="10" defaultColWidth="11.5" defaultRowHeight="15" x14ac:dyDescent="0.2"/>
  <cols>
    <col min="1" max="1" width="27.5" customWidth="1"/>
    <col min="2" max="2" width="35.5" customWidth="1"/>
    <col min="3" max="3" width="25" customWidth="1"/>
    <col min="4" max="4" width="20.1640625" customWidth="1"/>
    <col min="5" max="5" width="26.1640625" bestFit="1" customWidth="1"/>
    <col min="6" max="6" width="27.33203125" customWidth="1"/>
    <col min="7" max="7" width="14.1640625" bestFit="1" customWidth="1"/>
    <col min="8" max="8" width="15.83203125" bestFit="1" customWidth="1"/>
    <col min="9" max="9" width="34" customWidth="1"/>
    <col min="10" max="10" width="15.5" customWidth="1"/>
    <col min="11" max="11" width="36.6640625" customWidth="1"/>
  </cols>
  <sheetData>
    <row r="1" spans="1:11" ht="15" customHeight="1" x14ac:dyDescent="0.2">
      <c r="A1" s="681" t="s">
        <v>7502</v>
      </c>
      <c r="B1" s="682"/>
      <c r="C1" s="682"/>
      <c r="D1" s="682"/>
      <c r="E1" s="682"/>
      <c r="F1" s="682"/>
      <c r="G1" s="682"/>
      <c r="H1" s="682"/>
      <c r="I1" s="682"/>
      <c r="J1" s="682"/>
      <c r="K1" s="682"/>
    </row>
    <row r="2" spans="1:11" ht="12.75" customHeight="1" x14ac:dyDescent="0.2">
      <c r="A2" s="682"/>
      <c r="B2" s="682"/>
      <c r="C2" s="682"/>
      <c r="D2" s="682"/>
      <c r="E2" s="682"/>
      <c r="F2" s="682"/>
      <c r="G2" s="682"/>
      <c r="H2" s="682"/>
      <c r="I2" s="682"/>
      <c r="J2" s="682"/>
      <c r="K2" s="682"/>
    </row>
    <row r="3" spans="1:11" ht="21" customHeight="1" x14ac:dyDescent="0.25">
      <c r="A3" s="677" t="s">
        <v>7347</v>
      </c>
      <c r="B3" s="676" t="s">
        <v>348</v>
      </c>
      <c r="C3" s="674" t="s">
        <v>7348</v>
      </c>
      <c r="D3" s="674"/>
      <c r="E3" s="674"/>
      <c r="F3" s="674"/>
      <c r="G3" s="674" t="s">
        <v>7503</v>
      </c>
      <c r="H3" s="674"/>
      <c r="I3" s="675"/>
      <c r="J3" s="675"/>
      <c r="K3" s="675"/>
    </row>
    <row r="4" spans="1:11" ht="25" x14ac:dyDescent="0.25">
      <c r="A4" s="677"/>
      <c r="B4" s="676"/>
      <c r="C4" s="314" t="s">
        <v>7350</v>
      </c>
      <c r="D4" s="315" t="s">
        <v>7353</v>
      </c>
      <c r="E4" s="316" t="s">
        <v>7458</v>
      </c>
      <c r="F4" s="317" t="s">
        <v>7355</v>
      </c>
      <c r="G4" s="318" t="s">
        <v>7350</v>
      </c>
      <c r="H4" s="308" t="s">
        <v>7353</v>
      </c>
      <c r="I4" s="309" t="s">
        <v>7458</v>
      </c>
      <c r="J4" s="310" t="s">
        <v>7355</v>
      </c>
      <c r="K4" s="313" t="s">
        <v>7459</v>
      </c>
    </row>
    <row r="5" spans="1:11" ht="19" x14ac:dyDescent="0.2">
      <c r="A5" s="219" t="s">
        <v>7504</v>
      </c>
      <c r="B5" s="464" t="s">
        <v>7502</v>
      </c>
      <c r="C5" s="217">
        <v>0</v>
      </c>
      <c r="D5" s="218">
        <v>9221.93</v>
      </c>
      <c r="E5" s="218">
        <v>0</v>
      </c>
      <c r="F5" s="465">
        <f>D5-C5+E5</f>
        <v>9221.93</v>
      </c>
      <c r="G5" s="217">
        <v>0</v>
      </c>
      <c r="H5" s="218">
        <f>SUMIFS('Cashbook Wix'!B2:B3005,'Cashbook Wix'!A2:A3005,"MEMBERSHIPS")</f>
        <v>11824.16</v>
      </c>
      <c r="I5" s="218">
        <v>0</v>
      </c>
      <c r="J5" s="466">
        <f t="shared" ref="J5" si="0">H5+I5-G5</f>
        <v>11824.16</v>
      </c>
      <c r="K5" s="467">
        <f t="shared" ref="K5" si="1">J5-F5</f>
        <v>2602.2299999999996</v>
      </c>
    </row>
  </sheetData>
  <mergeCells count="5">
    <mergeCell ref="A1:K2"/>
    <mergeCell ref="A3:A4"/>
    <mergeCell ref="B3:B4"/>
    <mergeCell ref="C3:H3"/>
    <mergeCell ref="I3:K3"/>
  </mergeCells>
  <phoneticPr fontId="27" type="noConversion"/>
  <conditionalFormatting sqref="A3:C3 I3:K3 H4 A4:A5">
    <cfRule type="cellIs" dxfId="105" priority="1" operator="lessThan">
      <formula>0</formula>
    </cfRule>
  </conditionalFormatting>
  <conditionalFormatting sqref="C5:K5">
    <cfRule type="cellIs" dxfId="104" priority="2" operator="less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R46"/>
  <sheetViews>
    <sheetView zoomScale="57" zoomScaleNormal="25" zoomScalePageLayoutView="25" workbookViewId="0">
      <pane xSplit="1" ySplit="2" topLeftCell="F3" activePane="bottomRight" state="frozen"/>
      <selection pane="topRight" activeCell="O10" sqref="O10"/>
      <selection pane="bottomLeft" activeCell="O10" sqref="O10"/>
      <selection pane="bottomRight" activeCell="I34" sqref="I34"/>
    </sheetView>
  </sheetViews>
  <sheetFormatPr baseColWidth="10" defaultColWidth="11.5" defaultRowHeight="15" x14ac:dyDescent="0.2"/>
  <cols>
    <col min="1" max="1" width="50.83203125" style="4" customWidth="1"/>
    <col min="2" max="2" width="44.33203125" style="4" customWidth="1"/>
    <col min="3" max="3" width="25.83203125" style="4" customWidth="1"/>
    <col min="4" max="4" width="32.5" style="4" customWidth="1"/>
    <col min="5" max="5" width="33" style="4" customWidth="1"/>
    <col min="6" max="6" width="25.83203125" style="4" customWidth="1"/>
    <col min="7" max="7" width="35.33203125" style="4" customWidth="1"/>
    <col min="8" max="10" width="25.83203125" style="4" customWidth="1"/>
    <col min="11" max="11" width="34.5" style="4" customWidth="1"/>
    <col min="12" max="13" width="25.83203125" style="4" customWidth="1"/>
    <col min="14" max="16384" width="11.5" style="4"/>
  </cols>
  <sheetData>
    <row r="1" spans="1:18" ht="30" customHeight="1" x14ac:dyDescent="0.25">
      <c r="A1" s="677" t="s">
        <v>7456</v>
      </c>
      <c r="B1" s="595"/>
      <c r="C1" s="674" t="s">
        <v>7348</v>
      </c>
      <c r="D1" s="674"/>
      <c r="E1" s="674"/>
      <c r="F1" s="674"/>
      <c r="G1" s="674"/>
      <c r="H1" s="674"/>
      <c r="I1" s="675" t="s">
        <v>7503</v>
      </c>
      <c r="J1" s="675"/>
      <c r="K1" s="675"/>
      <c r="L1" s="675"/>
      <c r="M1" s="675"/>
    </row>
    <row r="2" spans="1:18" ht="30" customHeight="1" x14ac:dyDescent="0.3">
      <c r="A2" s="677"/>
      <c r="B2" s="307" t="s">
        <v>7457</v>
      </c>
      <c r="C2" s="314" t="s">
        <v>7350</v>
      </c>
      <c r="D2" s="315" t="s">
        <v>7505</v>
      </c>
      <c r="E2" s="316" t="s">
        <v>7506</v>
      </c>
      <c r="F2" s="317" t="s">
        <v>7353</v>
      </c>
      <c r="G2" s="318" t="s">
        <v>7458</v>
      </c>
      <c r="H2" s="308" t="s">
        <v>7355</v>
      </c>
      <c r="I2" s="309" t="s">
        <v>7350</v>
      </c>
      <c r="J2" s="310" t="s">
        <v>7353</v>
      </c>
      <c r="K2" s="313" t="s">
        <v>7458</v>
      </c>
      <c r="L2" s="311" t="s">
        <v>7355</v>
      </c>
      <c r="M2" s="312" t="s">
        <v>7459</v>
      </c>
      <c r="N2" s="126"/>
      <c r="O2" s="126"/>
      <c r="P2" s="126"/>
      <c r="Q2" s="126"/>
      <c r="R2" s="126"/>
    </row>
    <row r="3" spans="1:18" ht="30" customHeight="1" x14ac:dyDescent="0.3">
      <c r="A3" s="683" t="s">
        <v>7507</v>
      </c>
      <c r="B3" s="596" t="s">
        <v>7508</v>
      </c>
      <c r="C3" s="606">
        <f>5*50</f>
        <v>250</v>
      </c>
      <c r="D3" s="146">
        <v>0</v>
      </c>
      <c r="E3" s="145">
        <v>0</v>
      </c>
      <c r="F3" s="145">
        <v>0</v>
      </c>
      <c r="G3" s="152">
        <v>240</v>
      </c>
      <c r="H3" s="170">
        <f>F3+G3-C3</f>
        <v>-10</v>
      </c>
      <c r="I3" s="145">
        <f>SUMIFS('Cashbook ING'!$B:$B, 'Cashbook ING'!$A:$A, "AC_StudySessions_Snacks")</f>
        <v>-119.66000000000001</v>
      </c>
      <c r="J3" s="145">
        <v>0</v>
      </c>
      <c r="K3" s="611">
        <v>0</v>
      </c>
      <c r="L3" s="171">
        <f>J3+K3+I3</f>
        <v>-119.66000000000001</v>
      </c>
      <c r="M3" s="175">
        <f t="shared" ref="M3:M14" si="0">L3-H3</f>
        <v>-109.66000000000001</v>
      </c>
    </row>
    <row r="4" spans="1:18" ht="30" customHeight="1" x14ac:dyDescent="0.3">
      <c r="A4" s="684"/>
      <c r="B4" s="517" t="s">
        <v>7509</v>
      </c>
      <c r="C4" s="148">
        <v>0</v>
      </c>
      <c r="D4" s="149">
        <v>0</v>
      </c>
      <c r="E4" s="148">
        <v>0</v>
      </c>
      <c r="F4" s="148">
        <f t="shared" ref="F4:F5" si="1">E4*D4</f>
        <v>0</v>
      </c>
      <c r="G4" s="148">
        <v>0</v>
      </c>
      <c r="H4" s="171">
        <f t="shared" ref="H4:H5" si="2">F4+G4-C4</f>
        <v>0</v>
      </c>
      <c r="I4" s="148">
        <v>0</v>
      </c>
      <c r="J4" s="148">
        <f>SUMIFS('Cashbook Wix'!$B$2:$B$7012,'Cashbook Wix'!$A$2:$A$7012,"AC_")</f>
        <v>0</v>
      </c>
      <c r="K4" s="148">
        <v>0</v>
      </c>
      <c r="L4" s="171">
        <f t="shared" ref="L4:L5" si="3">J4+K4+I4</f>
        <v>0</v>
      </c>
      <c r="M4" s="175">
        <f t="shared" si="0"/>
        <v>0</v>
      </c>
    </row>
    <row r="5" spans="1:18" ht="30" customHeight="1" x14ac:dyDescent="0.3">
      <c r="A5" s="684"/>
      <c r="B5" s="517" t="s">
        <v>7510</v>
      </c>
      <c r="C5" s="148">
        <v>0</v>
      </c>
      <c r="D5" s="149">
        <v>0</v>
      </c>
      <c r="E5" s="148">
        <v>0</v>
      </c>
      <c r="F5" s="148">
        <f t="shared" si="1"/>
        <v>0</v>
      </c>
      <c r="G5" s="148">
        <v>0</v>
      </c>
      <c r="H5" s="171">
        <f t="shared" si="2"/>
        <v>0</v>
      </c>
      <c r="I5" s="148">
        <v>0</v>
      </c>
      <c r="J5" s="148">
        <f>SUMIFS('Cashbook Wix'!$B$2:$B$7012,'Cashbook Wix'!$A$2:$A$7012,"AC_")</f>
        <v>0</v>
      </c>
      <c r="K5" s="148">
        <v>0</v>
      </c>
      <c r="L5" s="171">
        <f t="shared" si="3"/>
        <v>0</v>
      </c>
      <c r="M5" s="175">
        <f t="shared" si="0"/>
        <v>0</v>
      </c>
    </row>
    <row r="6" spans="1:18" ht="30" customHeight="1" x14ac:dyDescent="0.3">
      <c r="A6" s="684"/>
      <c r="B6" s="468" t="s">
        <v>7511</v>
      </c>
      <c r="C6" s="320">
        <f>SUM(C3:C3)</f>
        <v>250</v>
      </c>
      <c r="D6" s="321">
        <f>SUM(D3:D5)</f>
        <v>0</v>
      </c>
      <c r="E6" s="320">
        <v>0</v>
      </c>
      <c r="F6" s="322">
        <f>SUM(F3:F5)</f>
        <v>0</v>
      </c>
      <c r="G6" s="322">
        <f>SUM(G3:G5)</f>
        <v>240</v>
      </c>
      <c r="H6" s="323">
        <f>SUM(H3:H5)</f>
        <v>-10</v>
      </c>
      <c r="I6" s="320">
        <f>SUM(I3:I3)</f>
        <v>-119.66000000000001</v>
      </c>
      <c r="J6" s="322">
        <f>SUM(J3:J5)</f>
        <v>0</v>
      </c>
      <c r="K6" s="322">
        <f>SUM(K3:K5)</f>
        <v>0</v>
      </c>
      <c r="L6" s="323">
        <f>SUM(L3:L5)</f>
        <v>-119.66000000000001</v>
      </c>
      <c r="M6" s="324">
        <f>SUM(M3:M5)</f>
        <v>-109.66000000000001</v>
      </c>
      <c r="N6" s="122"/>
    </row>
    <row r="7" spans="1:18" ht="30" customHeight="1" x14ac:dyDescent="0.3">
      <c r="A7" s="685" t="s">
        <v>7512</v>
      </c>
      <c r="B7" s="597" t="s">
        <v>7513</v>
      </c>
      <c r="C7" s="145">
        <v>0</v>
      </c>
      <c r="D7" s="146">
        <v>0</v>
      </c>
      <c r="E7" s="145">
        <v>0</v>
      </c>
      <c r="F7" s="145">
        <v>0</v>
      </c>
      <c r="G7" s="145">
        <v>0</v>
      </c>
      <c r="H7" s="170">
        <f>F7+G7-C7</f>
        <v>0</v>
      </c>
      <c r="I7" s="145">
        <f>SUMIFS('Cashbook ING'!$B:$B, 'Cashbook ING'!$A:$A, "AC_BookExchange_Snacks")</f>
        <v>0</v>
      </c>
      <c r="J7" s="145">
        <v>0</v>
      </c>
      <c r="K7" s="145">
        <v>0</v>
      </c>
      <c r="L7" s="171">
        <f>J7+K7+I7</f>
        <v>0</v>
      </c>
      <c r="M7" s="175">
        <f t="shared" si="0"/>
        <v>0</v>
      </c>
    </row>
    <row r="8" spans="1:18" ht="30" customHeight="1" x14ac:dyDescent="0.3">
      <c r="A8" s="686"/>
      <c r="B8" s="517" t="s">
        <v>7509</v>
      </c>
      <c r="C8" s="148">
        <v>0</v>
      </c>
      <c r="D8" s="149">
        <v>0</v>
      </c>
      <c r="E8" s="148">
        <v>0</v>
      </c>
      <c r="F8" s="148">
        <f t="shared" ref="F8:F9" si="4">E8*D8</f>
        <v>0</v>
      </c>
      <c r="G8" s="148">
        <v>0</v>
      </c>
      <c r="H8" s="171">
        <f t="shared" ref="H8" si="5">F8+G8-C8</f>
        <v>0</v>
      </c>
      <c r="I8" s="148">
        <v>0</v>
      </c>
      <c r="J8" s="148">
        <f>SUMIFS('Cashbook Wix'!$B$2:$B$7012,'Cashbook Wix'!$A$2:$A$7012,"AC_")</f>
        <v>0</v>
      </c>
      <c r="K8" s="148">
        <v>0</v>
      </c>
      <c r="L8" s="171">
        <f>J8+K8+I8</f>
        <v>0</v>
      </c>
      <c r="M8" s="175">
        <f t="shared" si="0"/>
        <v>0</v>
      </c>
    </row>
    <row r="9" spans="1:18" ht="30" customHeight="1" x14ac:dyDescent="0.3">
      <c r="A9" s="686"/>
      <c r="B9" s="517" t="s">
        <v>7510</v>
      </c>
      <c r="C9" s="148">
        <v>0</v>
      </c>
      <c r="D9" s="149">
        <v>0</v>
      </c>
      <c r="E9" s="148">
        <v>0</v>
      </c>
      <c r="F9" s="148">
        <f t="shared" si="4"/>
        <v>0</v>
      </c>
      <c r="G9" s="148">
        <v>0</v>
      </c>
      <c r="H9" s="171">
        <f>F9+G9-C9</f>
        <v>0</v>
      </c>
      <c r="I9" s="148">
        <v>0</v>
      </c>
      <c r="J9" s="148">
        <f>SUMIFS('Cashbook Wix'!$B$2:$B$7012,'Cashbook Wix'!$A$2:$A$7012,"AC_")</f>
        <v>0</v>
      </c>
      <c r="K9" s="148">
        <v>0</v>
      </c>
      <c r="L9" s="171">
        <f>J9+K9+I9</f>
        <v>0</v>
      </c>
      <c r="M9" s="175">
        <f t="shared" si="0"/>
        <v>0</v>
      </c>
    </row>
    <row r="10" spans="1:18" ht="30" customHeight="1" x14ac:dyDescent="0.3">
      <c r="A10" s="687"/>
      <c r="B10" s="469" t="s">
        <v>7511</v>
      </c>
      <c r="C10" s="325">
        <f>SUM(C7:C9)</f>
        <v>0</v>
      </c>
      <c r="D10" s="326">
        <f>SUM(D7:D9)</f>
        <v>0</v>
      </c>
      <c r="E10" s="325">
        <v>0</v>
      </c>
      <c r="F10" s="325">
        <f t="shared" ref="F10:G10" si="6">SUM(F7:F9)</f>
        <v>0</v>
      </c>
      <c r="G10" s="325">
        <f t="shared" si="6"/>
        <v>0</v>
      </c>
      <c r="H10" s="327">
        <f>SUM(H7:H9)</f>
        <v>0</v>
      </c>
      <c r="I10" s="325">
        <f>SUM(I7)</f>
        <v>0</v>
      </c>
      <c r="J10" s="325">
        <f t="shared" ref="J10:K10" si="7">SUM(J7:J9)</f>
        <v>0</v>
      </c>
      <c r="K10" s="325">
        <f t="shared" si="7"/>
        <v>0</v>
      </c>
      <c r="L10" s="327">
        <f>SUM(L7:L9)</f>
        <v>0</v>
      </c>
      <c r="M10" s="327">
        <f>SUM(M7:M9)</f>
        <v>0</v>
      </c>
      <c r="N10" s="122"/>
    </row>
    <row r="11" spans="1:18" ht="30" customHeight="1" x14ac:dyDescent="0.3">
      <c r="A11" s="690" t="s">
        <v>7514</v>
      </c>
      <c r="B11" s="517" t="s">
        <v>7515</v>
      </c>
      <c r="C11" s="148">
        <v>1417</v>
      </c>
      <c r="D11" s="149">
        <v>0</v>
      </c>
      <c r="E11" s="148">
        <v>0</v>
      </c>
      <c r="F11" s="148">
        <v>0</v>
      </c>
      <c r="G11" s="23">
        <v>1417</v>
      </c>
      <c r="H11" s="171">
        <f>F11+G11-C11</f>
        <v>0</v>
      </c>
      <c r="I11" s="148">
        <f>SUMIFS('Cashbook ING'!$B:$B, 'Cashbook ING'!$A:$A, "AC_RhetoricSpeechEvent_Rent")*1</f>
        <v>-1417.1</v>
      </c>
      <c r="J11" s="148">
        <v>0</v>
      </c>
      <c r="K11" s="657">
        <f>SUMIFS('Cashbook ING'!$B:$B, 'Cashbook ING'!$A:$A, "AC_RhetoricSpeechEvent_Sponsorship")*1</f>
        <v>1417.1</v>
      </c>
      <c r="L11" s="171">
        <f>J11+K11+I11</f>
        <v>0</v>
      </c>
      <c r="M11" s="175">
        <f t="shared" si="0"/>
        <v>0</v>
      </c>
    </row>
    <row r="12" spans="1:18" ht="30" customHeight="1" x14ac:dyDescent="0.3">
      <c r="A12" s="688"/>
      <c r="B12" s="517" t="s">
        <v>7516</v>
      </c>
      <c r="C12" s="148">
        <v>5</v>
      </c>
      <c r="D12" s="149">
        <v>0</v>
      </c>
      <c r="E12" s="148">
        <v>0</v>
      </c>
      <c r="F12" s="148">
        <v>0</v>
      </c>
      <c r="G12" s="148">
        <v>0</v>
      </c>
      <c r="H12" s="171">
        <f>F12+G12-C12</f>
        <v>-5</v>
      </c>
      <c r="I12" s="148">
        <f>SUMIFS('Cashbook ING'!$B:$B, 'Cashbook ING'!$A:$A, "AC_RhetoricSpeechEvent_Flowers")*1</f>
        <v>-5</v>
      </c>
      <c r="J12" s="148">
        <v>0</v>
      </c>
      <c r="K12" s="148">
        <v>0</v>
      </c>
      <c r="L12" s="171">
        <f t="shared" ref="L12:L13" si="8">J12+K12+I12</f>
        <v>-5</v>
      </c>
      <c r="M12" s="175">
        <f t="shared" si="0"/>
        <v>0</v>
      </c>
    </row>
    <row r="13" spans="1:18" ht="30" customHeight="1" x14ac:dyDescent="0.3">
      <c r="A13" s="688"/>
      <c r="B13" s="517" t="s">
        <v>7509</v>
      </c>
      <c r="C13" s="148">
        <v>0</v>
      </c>
      <c r="D13" s="149">
        <v>185</v>
      </c>
      <c r="E13" s="148">
        <v>0</v>
      </c>
      <c r="F13" s="148">
        <f>E13*D13</f>
        <v>0</v>
      </c>
      <c r="G13" s="148">
        <v>0</v>
      </c>
      <c r="H13" s="171">
        <f t="shared" ref="H13:H14" si="9">F13+G13-C13</f>
        <v>0</v>
      </c>
      <c r="I13" s="148">
        <v>0</v>
      </c>
      <c r="J13" s="148">
        <f>SUMIFS('Cashbook Wix'!$B$2:$B$7012,'Cashbook Wix'!$A$2:$A$7012,"AC_")</f>
        <v>0</v>
      </c>
      <c r="K13" s="148">
        <v>0</v>
      </c>
      <c r="L13" s="171">
        <f t="shared" si="8"/>
        <v>0</v>
      </c>
      <c r="M13" s="171">
        <f t="shared" si="0"/>
        <v>0</v>
      </c>
    </row>
    <row r="14" spans="1:18" ht="30" customHeight="1" x14ac:dyDescent="0.3">
      <c r="A14" s="688"/>
      <c r="B14" s="517" t="s">
        <v>7510</v>
      </c>
      <c r="C14" s="148">
        <v>0</v>
      </c>
      <c r="D14" s="149">
        <v>0</v>
      </c>
      <c r="E14" s="148">
        <v>0</v>
      </c>
      <c r="F14" s="148">
        <f t="shared" ref="F14" si="10">E14*D14</f>
        <v>0</v>
      </c>
      <c r="G14" s="148">
        <v>0</v>
      </c>
      <c r="H14" s="171">
        <f t="shared" si="9"/>
        <v>0</v>
      </c>
      <c r="I14" s="148">
        <f>SUMIFS('Cashbook ING'!$B:$B, 'Cashbook ING'!$A:$A, "AC_")*-1</f>
        <v>0</v>
      </c>
      <c r="J14" s="148">
        <f>SUMIFS('Cashbook Wix'!$B$2:$B$7012,'Cashbook Wix'!$A$2:$A$7012,"AC_")</f>
        <v>0</v>
      </c>
      <c r="K14" s="148">
        <v>0</v>
      </c>
      <c r="L14" s="171">
        <f>J14+K14+I14</f>
        <v>0</v>
      </c>
      <c r="M14" s="171">
        <f t="shared" si="0"/>
        <v>0</v>
      </c>
    </row>
    <row r="15" spans="1:18" ht="30" customHeight="1" x14ac:dyDescent="0.3">
      <c r="A15" s="689"/>
      <c r="B15" s="469" t="s">
        <v>7511</v>
      </c>
      <c r="C15" s="325">
        <f>SUM(C11:C14)</f>
        <v>1422</v>
      </c>
      <c r="D15" s="326">
        <f>SUM(D11:D14)</f>
        <v>185</v>
      </c>
      <c r="E15" s="325">
        <v>0</v>
      </c>
      <c r="F15" s="325">
        <f>SUM(F11:F14)</f>
        <v>0</v>
      </c>
      <c r="G15" s="325">
        <f t="shared" ref="G15" si="11">SUM(G11:G14)</f>
        <v>1417</v>
      </c>
      <c r="H15" s="327">
        <f>SUM(H11:H14)</f>
        <v>-5</v>
      </c>
      <c r="I15" s="325">
        <f>SUM(I11:I13)</f>
        <v>-1422.1</v>
      </c>
      <c r="J15" s="325">
        <f t="shared" ref="J15:K15" si="12">SUM(J11:J14)</f>
        <v>0</v>
      </c>
      <c r="K15" s="325">
        <f t="shared" si="12"/>
        <v>1417.1</v>
      </c>
      <c r="L15" s="327">
        <f>SUM(L11:L14)</f>
        <v>-5</v>
      </c>
      <c r="M15" s="327">
        <f>SUM(M11:M14)</f>
        <v>0</v>
      </c>
      <c r="N15" s="122"/>
    </row>
    <row r="16" spans="1:18" ht="30" customHeight="1" x14ac:dyDescent="0.3">
      <c r="A16" s="688" t="s">
        <v>7517</v>
      </c>
      <c r="B16" s="517" t="s">
        <v>7518</v>
      </c>
      <c r="C16" s="148">
        <v>1632</v>
      </c>
      <c r="D16" s="149">
        <v>0</v>
      </c>
      <c r="E16" s="148">
        <v>0</v>
      </c>
      <c r="F16" s="148">
        <v>0</v>
      </c>
      <c r="G16" s="432">
        <v>1500</v>
      </c>
      <c r="H16" s="171">
        <f>F16+G16-C16</f>
        <v>-132</v>
      </c>
      <c r="I16" s="148">
        <f>SUMIFS('Cashbook ING'!$B:$B, 'Cashbook ING'!$A:$A, "AC_TheHague_Transportation")</f>
        <v>-1080</v>
      </c>
      <c r="J16" s="148">
        <v>0</v>
      </c>
      <c r="K16" s="657">
        <v>1100</v>
      </c>
      <c r="L16" s="171">
        <f>J16+K16+I16</f>
        <v>20</v>
      </c>
      <c r="M16" s="504">
        <f>L16-H16</f>
        <v>152</v>
      </c>
    </row>
    <row r="17" spans="1:14" ht="30" customHeight="1" x14ac:dyDescent="0.3">
      <c r="A17" s="688"/>
      <c r="B17" s="517" t="s">
        <v>7509</v>
      </c>
      <c r="C17" s="148">
        <v>0</v>
      </c>
      <c r="D17" s="149">
        <v>40</v>
      </c>
      <c r="E17" s="148">
        <v>2.5</v>
      </c>
      <c r="F17" s="148">
        <f>D17*E17</f>
        <v>100</v>
      </c>
      <c r="G17" s="148">
        <v>0</v>
      </c>
      <c r="H17" s="171">
        <f t="shared" ref="H17:H18" si="13">F17+G17-C17</f>
        <v>100</v>
      </c>
      <c r="I17" s="148">
        <f>SUMIFS('Cashbook ING'!$B:$B, 'Cashbook ING'!$A:$A, "AC_")*-1</f>
        <v>0</v>
      </c>
      <c r="J17" s="432">
        <f>SUMIFS('Cashbook Wix'!$B$2:$B$7012,'Cashbook Wix'!$A$2:$A$7012,"AC_TheHague_Member")</f>
        <v>55.879999999999988</v>
      </c>
      <c r="K17" s="148">
        <v>0</v>
      </c>
      <c r="L17" s="171">
        <f>J17+K17+I17</f>
        <v>55.879999999999988</v>
      </c>
      <c r="M17" s="175">
        <f t="shared" ref="M17:M28" si="14">L17-H17</f>
        <v>-44.120000000000012</v>
      </c>
    </row>
    <row r="18" spans="1:14" ht="30" customHeight="1" x14ac:dyDescent="0.3">
      <c r="A18" s="688"/>
      <c r="B18" s="517" t="s">
        <v>7510</v>
      </c>
      <c r="C18" s="148">
        <v>0</v>
      </c>
      <c r="D18" s="149">
        <v>10</v>
      </c>
      <c r="E18" s="148">
        <v>4.5</v>
      </c>
      <c r="F18" s="148">
        <f>D18*E18</f>
        <v>45</v>
      </c>
      <c r="G18" s="148">
        <v>0</v>
      </c>
      <c r="H18" s="171">
        <f t="shared" si="13"/>
        <v>45</v>
      </c>
      <c r="I18" s="148">
        <f>SUMIFS('Cashbook ING'!$B:$B, 'Cashbook ING'!$A:$A, "AC_")*-1</f>
        <v>0</v>
      </c>
      <c r="J18" s="432">
        <f>SUMIFS('Cashbook Wix'!$B$2:$B$7012,'Cashbook Wix'!$A$2:$A$7012,"AC_TheHague_NonMember")</f>
        <v>20.49</v>
      </c>
      <c r="K18" s="148">
        <v>0</v>
      </c>
      <c r="L18" s="171">
        <f>J18+K18+I18</f>
        <v>20.49</v>
      </c>
      <c r="M18" s="175">
        <f t="shared" si="14"/>
        <v>-24.51</v>
      </c>
    </row>
    <row r="19" spans="1:14" ht="30" customHeight="1" x14ac:dyDescent="0.3">
      <c r="A19" s="689"/>
      <c r="B19" s="469" t="s">
        <v>7511</v>
      </c>
      <c r="C19" s="325">
        <f>SUM(C16:C18)</f>
        <v>1632</v>
      </c>
      <c r="D19" s="326">
        <f>SUM(D16:D18)</f>
        <v>50</v>
      </c>
      <c r="E19" s="325">
        <v>0</v>
      </c>
      <c r="F19" s="325">
        <f>SUM(F16:F18)</f>
        <v>145</v>
      </c>
      <c r="G19" s="325">
        <f t="shared" ref="G19" si="15">SUM(G16:G18)</f>
        <v>1500</v>
      </c>
      <c r="H19" s="327">
        <f>SUM(H16:H18)</f>
        <v>13</v>
      </c>
      <c r="I19" s="325">
        <f>SUM(I16:I17)</f>
        <v>-1080</v>
      </c>
      <c r="J19" s="325">
        <f t="shared" ref="J19:K19" si="16">SUM(J16:J18)</f>
        <v>76.36999999999999</v>
      </c>
      <c r="K19" s="325">
        <f t="shared" si="16"/>
        <v>1100</v>
      </c>
      <c r="L19" s="327">
        <f>SUM(L16:L18)</f>
        <v>96.36999999999999</v>
      </c>
      <c r="M19" s="327">
        <f>SUM(M16:M18)</f>
        <v>83.36999999999999</v>
      </c>
      <c r="N19" s="122"/>
    </row>
    <row r="20" spans="1:14" ht="30" customHeight="1" x14ac:dyDescent="0.3">
      <c r="A20" s="688" t="s">
        <v>7519</v>
      </c>
      <c r="B20" s="517" t="s">
        <v>7520</v>
      </c>
      <c r="C20" s="148">
        <v>10</v>
      </c>
      <c r="D20" s="149">
        <v>0</v>
      </c>
      <c r="E20" s="148">
        <v>0</v>
      </c>
      <c r="F20" s="148">
        <v>0</v>
      </c>
      <c r="G20" s="148">
        <v>0</v>
      </c>
      <c r="H20" s="171">
        <f>F20+G20-C20</f>
        <v>-10</v>
      </c>
      <c r="I20" s="148">
        <f>SUMIFS('Cashbook ING'!$B:$B, 'Cashbook ING'!$A:$A, "AC_DebateCup_Prize")</f>
        <v>0</v>
      </c>
      <c r="J20" s="148">
        <v>0</v>
      </c>
      <c r="K20" s="148">
        <v>0</v>
      </c>
      <c r="L20" s="171">
        <f>J20+K20+I20</f>
        <v>0</v>
      </c>
      <c r="M20" s="175">
        <f t="shared" ref="M20:M23" si="17">L20-H20</f>
        <v>10</v>
      </c>
    </row>
    <row r="21" spans="1:14" ht="30" customHeight="1" x14ac:dyDescent="0.3">
      <c r="A21" s="688"/>
      <c r="B21" s="518" t="s">
        <v>7508</v>
      </c>
      <c r="C21" s="148">
        <v>55</v>
      </c>
      <c r="D21" s="149">
        <v>0</v>
      </c>
      <c r="E21" s="148">
        <v>0</v>
      </c>
      <c r="F21" s="148">
        <v>0</v>
      </c>
      <c r="G21" s="148">
        <v>0</v>
      </c>
      <c r="H21" s="171">
        <f>F21+G21-C21</f>
        <v>-55</v>
      </c>
      <c r="I21" s="148">
        <f>SUMIFS('Cashbook ING'!$B:$B, 'Cashbook ING'!$A:$A, "AC_")*-1</f>
        <v>0</v>
      </c>
      <c r="J21" s="148">
        <v>0</v>
      </c>
      <c r="K21" s="148">
        <v>0</v>
      </c>
      <c r="L21" s="171">
        <v>0</v>
      </c>
      <c r="M21" s="175">
        <f t="shared" si="17"/>
        <v>55</v>
      </c>
    </row>
    <row r="22" spans="1:14" ht="30" customHeight="1" x14ac:dyDescent="0.3">
      <c r="A22" s="688"/>
      <c r="B22" s="517" t="s">
        <v>7509</v>
      </c>
      <c r="C22" s="148">
        <v>0</v>
      </c>
      <c r="D22" s="149">
        <v>25</v>
      </c>
      <c r="E22" s="148">
        <v>2</v>
      </c>
      <c r="F22" s="148">
        <f t="shared" ref="F22:F23" si="18">E22*D22</f>
        <v>50</v>
      </c>
      <c r="G22" s="148">
        <v>0</v>
      </c>
      <c r="H22" s="171">
        <f t="shared" ref="H22:H23" si="19">F22+G22-C22</f>
        <v>50</v>
      </c>
      <c r="I22" s="148">
        <v>0</v>
      </c>
      <c r="J22" s="148">
        <f>SUMIFS('Cashbook Wix'!$B$2:$B$7012,'Cashbook Wix'!$A$2:$A$7012,"AC_")</f>
        <v>0</v>
      </c>
      <c r="K22" s="148">
        <v>0</v>
      </c>
      <c r="L22" s="171">
        <f t="shared" ref="L22:L23" si="20">J22+K22+I22</f>
        <v>0</v>
      </c>
      <c r="M22" s="175">
        <f t="shared" si="17"/>
        <v>-50</v>
      </c>
    </row>
    <row r="23" spans="1:14" ht="30" customHeight="1" x14ac:dyDescent="0.3">
      <c r="A23" s="688"/>
      <c r="B23" s="517" t="s">
        <v>7510</v>
      </c>
      <c r="C23" s="148">
        <v>0</v>
      </c>
      <c r="D23" s="149">
        <v>5</v>
      </c>
      <c r="E23" s="148">
        <v>4</v>
      </c>
      <c r="F23" s="148">
        <f t="shared" si="18"/>
        <v>20</v>
      </c>
      <c r="G23" s="148">
        <v>0</v>
      </c>
      <c r="H23" s="171">
        <f t="shared" si="19"/>
        <v>20</v>
      </c>
      <c r="I23" s="148">
        <v>0</v>
      </c>
      <c r="J23" s="148">
        <f>SUMIFS('Cashbook Wix'!$B$2:$B$7012,'Cashbook Wix'!$A$2:$A$7012,"AC_")</f>
        <v>0</v>
      </c>
      <c r="K23" s="148">
        <v>0</v>
      </c>
      <c r="L23" s="171">
        <f t="shared" si="20"/>
        <v>0</v>
      </c>
      <c r="M23" s="175">
        <f t="shared" si="17"/>
        <v>-20</v>
      </c>
    </row>
    <row r="24" spans="1:14" ht="30" customHeight="1" x14ac:dyDescent="0.3">
      <c r="A24" s="689"/>
      <c r="B24" s="469" t="s">
        <v>7511</v>
      </c>
      <c r="C24" s="325">
        <f>SUM(C20:C23)</f>
        <v>65</v>
      </c>
      <c r="D24" s="326">
        <f>SUM(D20:D23)</f>
        <v>30</v>
      </c>
      <c r="E24" s="325">
        <v>0</v>
      </c>
      <c r="F24" s="325">
        <f>SUM(F20:F23)</f>
        <v>70</v>
      </c>
      <c r="G24" s="325">
        <f t="shared" ref="G24" si="21">SUM(G20:G23)</f>
        <v>0</v>
      </c>
      <c r="H24" s="327">
        <f>SUM(H20:H23)</f>
        <v>5</v>
      </c>
      <c r="I24" s="325">
        <f>SUM(I20:I22)</f>
        <v>0</v>
      </c>
      <c r="J24" s="325">
        <f t="shared" ref="J24:K24" si="22">SUM(J20:J23)</f>
        <v>0</v>
      </c>
      <c r="K24" s="325">
        <f t="shared" si="22"/>
        <v>0</v>
      </c>
      <c r="L24" s="327">
        <f>SUM(L20:L23)</f>
        <v>0</v>
      </c>
      <c r="M24" s="327">
        <f>SUM(M20:M23)</f>
        <v>-5</v>
      </c>
      <c r="N24" s="122"/>
    </row>
    <row r="25" spans="1:14" ht="30" customHeight="1" x14ac:dyDescent="0.3">
      <c r="A25" s="698" t="s">
        <v>7521</v>
      </c>
      <c r="B25" s="517" t="s">
        <v>7522</v>
      </c>
      <c r="C25" s="148">
        <v>140</v>
      </c>
      <c r="D25" s="149">
        <v>0</v>
      </c>
      <c r="E25" s="148">
        <v>0</v>
      </c>
      <c r="F25" s="148">
        <v>0</v>
      </c>
      <c r="G25" s="432">
        <v>0</v>
      </c>
      <c r="H25" s="171">
        <f>F25+G25-C25</f>
        <v>-140</v>
      </c>
      <c r="I25" s="432">
        <f>SUMIFS('Cashbook ING'!$B:$B, 'Cashbook ING'!$A:$A, "AC_DrunkDebate_Drinks")*1</f>
        <v>-265</v>
      </c>
      <c r="J25" s="148">
        <v>0</v>
      </c>
      <c r="K25" s="148">
        <v>0</v>
      </c>
      <c r="L25" s="171">
        <f>J25+K25+I25</f>
        <v>-265</v>
      </c>
      <c r="M25" s="175">
        <f t="shared" si="14"/>
        <v>-125</v>
      </c>
    </row>
    <row r="26" spans="1:14" ht="30" customHeight="1" x14ac:dyDescent="0.3">
      <c r="A26" s="698"/>
      <c r="B26" s="517" t="s">
        <v>7520</v>
      </c>
      <c r="C26" s="148">
        <v>20</v>
      </c>
      <c r="D26" s="149">
        <v>0</v>
      </c>
      <c r="E26" s="148">
        <v>0</v>
      </c>
      <c r="F26" s="148">
        <v>0</v>
      </c>
      <c r="G26" s="432">
        <v>0</v>
      </c>
      <c r="H26" s="171">
        <f>F26+G26-C26</f>
        <v>-20</v>
      </c>
      <c r="I26" s="148">
        <f>SUMIFS('Cashbook ING'!$B:$B, 'Cashbook ING'!$A:$A, "AC_")*-1</f>
        <v>0</v>
      </c>
      <c r="J26" s="148">
        <f>SUMIFS('Cashbook Wix'!$B$2:$B$7012,'Cashbook Wix'!$A$2:$A$7012,"AC_")</f>
        <v>0</v>
      </c>
      <c r="K26" s="148">
        <v>0</v>
      </c>
      <c r="L26" s="171">
        <f>J26+K26+I26</f>
        <v>0</v>
      </c>
      <c r="M26" s="175">
        <f t="shared" si="14"/>
        <v>20</v>
      </c>
    </row>
    <row r="27" spans="1:14" ht="30" customHeight="1" x14ac:dyDescent="0.3">
      <c r="A27" s="698"/>
      <c r="B27" s="517" t="s">
        <v>7509</v>
      </c>
      <c r="C27" s="148">
        <v>0</v>
      </c>
      <c r="D27" s="149">
        <v>30</v>
      </c>
      <c r="E27" s="148">
        <v>4</v>
      </c>
      <c r="F27" s="148">
        <f>E27*D27</f>
        <v>120</v>
      </c>
      <c r="G27" s="148">
        <v>0</v>
      </c>
      <c r="H27" s="171">
        <f t="shared" ref="H27:H28" si="23">F27+G27-C27</f>
        <v>120</v>
      </c>
      <c r="I27" s="148">
        <v>0</v>
      </c>
      <c r="J27" s="148">
        <f>SUMIFS('Cashbook Wix'!$B$2:$B$7012,'Cashbook Wix'!$A$2:$A$7012,"AC_DrunkDebate_Member")</f>
        <v>67.779999999999973</v>
      </c>
      <c r="K27" s="148">
        <v>0</v>
      </c>
      <c r="L27" s="171">
        <f t="shared" ref="L27:L28" si="24">J27+K27+I27</f>
        <v>67.779999999999973</v>
      </c>
      <c r="M27" s="175">
        <f t="shared" si="14"/>
        <v>-52.220000000000027</v>
      </c>
    </row>
    <row r="28" spans="1:14" ht="30" customHeight="1" x14ac:dyDescent="0.3">
      <c r="A28" s="698"/>
      <c r="B28" s="517" t="s">
        <v>7510</v>
      </c>
      <c r="C28" s="148">
        <v>0</v>
      </c>
      <c r="D28" s="149">
        <v>5</v>
      </c>
      <c r="E28" s="148">
        <v>6</v>
      </c>
      <c r="F28" s="148">
        <f>E28*D28</f>
        <v>30</v>
      </c>
      <c r="G28" s="148">
        <v>0</v>
      </c>
      <c r="H28" s="171">
        <f t="shared" si="23"/>
        <v>30</v>
      </c>
      <c r="I28" s="148">
        <v>0</v>
      </c>
      <c r="J28" s="148">
        <f>SUMIFS('Cashbook Wix'!$B$2:$B$7012,'Cashbook Wix'!$A$2:$A$7012,"AC_DrunkDebate_NonMember")</f>
        <v>22.940000000000005</v>
      </c>
      <c r="K28" s="148">
        <v>0</v>
      </c>
      <c r="L28" s="171">
        <f t="shared" si="24"/>
        <v>22.940000000000005</v>
      </c>
      <c r="M28" s="175">
        <f t="shared" si="14"/>
        <v>-7.0599999999999952</v>
      </c>
    </row>
    <row r="29" spans="1:14" ht="30" customHeight="1" x14ac:dyDescent="0.3">
      <c r="A29" s="698"/>
      <c r="B29" s="468" t="s">
        <v>7511</v>
      </c>
      <c r="C29" s="320">
        <f>SUM(C25:C28)</f>
        <v>160</v>
      </c>
      <c r="D29" s="321">
        <f>SUM(D25:D28)</f>
        <v>35</v>
      </c>
      <c r="E29" s="320">
        <v>0</v>
      </c>
      <c r="F29" s="320">
        <f>SUM(F25:F28)</f>
        <v>150</v>
      </c>
      <c r="G29" s="320">
        <f t="shared" ref="G29" si="25">SUM(G25:G28)</f>
        <v>0</v>
      </c>
      <c r="H29" s="324">
        <f>SUM(H25:H28)</f>
        <v>-10</v>
      </c>
      <c r="I29" s="320">
        <f>SUM(I25:I27)</f>
        <v>-265</v>
      </c>
      <c r="J29" s="320">
        <f>SUM(J25:J28)</f>
        <v>90.71999999999997</v>
      </c>
      <c r="K29" s="320">
        <f t="shared" ref="K29" si="26">SUM(K25:K28)</f>
        <v>0</v>
      </c>
      <c r="L29" s="324">
        <f>SUM(L25:L28)</f>
        <v>-174.28000000000003</v>
      </c>
      <c r="M29" s="324">
        <f>SUM(M25:M28)</f>
        <v>-164.28000000000003</v>
      </c>
      <c r="N29" s="122"/>
    </row>
    <row r="30" spans="1:14" s="520" customFormat="1" ht="30" customHeight="1" x14ac:dyDescent="0.3">
      <c r="A30" s="695" t="s">
        <v>7523</v>
      </c>
      <c r="B30" s="526" t="s">
        <v>7524</v>
      </c>
      <c r="C30" s="527">
        <v>50</v>
      </c>
      <c r="D30" s="528">
        <v>0</v>
      </c>
      <c r="E30" s="527">
        <v>0</v>
      </c>
      <c r="F30" s="527">
        <v>0</v>
      </c>
      <c r="G30" s="527">
        <v>30</v>
      </c>
      <c r="H30" s="529">
        <f>F30+G30-C30</f>
        <v>-20</v>
      </c>
      <c r="I30" s="530">
        <f>SUMIFS('Cashbook ING'!$B:$B, 'Cashbook ING'!$A:$A, "AW_SpeakerEvent_Snacks")</f>
        <v>-29.56</v>
      </c>
      <c r="J30" s="527">
        <f>SUMIFS('Cashbook Wix'!$B$2:$B$7012,'Cashbook Wix'!$A$2:$A$7012,"AC_")</f>
        <v>0</v>
      </c>
      <c r="K30" s="527">
        <v>0</v>
      </c>
      <c r="L30" s="529">
        <f>I30+J30+K30</f>
        <v>-29.56</v>
      </c>
      <c r="M30" s="574">
        <f>L30-H30</f>
        <v>-9.5599999999999987</v>
      </c>
      <c r="N30" s="519"/>
    </row>
    <row r="31" spans="1:14" s="520" customFormat="1" ht="30" customHeight="1" x14ac:dyDescent="0.3">
      <c r="A31" s="696"/>
      <c r="B31" s="522" t="s">
        <v>7525</v>
      </c>
      <c r="C31" s="525">
        <v>0</v>
      </c>
      <c r="D31" s="524">
        <v>35</v>
      </c>
      <c r="E31" s="432">
        <v>1</v>
      </c>
      <c r="F31" s="432">
        <f>E31*D31</f>
        <v>35</v>
      </c>
      <c r="G31" s="432">
        <v>0</v>
      </c>
      <c r="H31" s="523">
        <f t="shared" ref="H31:H32" si="27">F31+G31-C31</f>
        <v>35</v>
      </c>
      <c r="I31" s="525">
        <f>SUMIFS('Cashbook ING'!$B:$B, 'Cashbook ING'!$A:$A, "AC_")*-1</f>
        <v>0</v>
      </c>
      <c r="J31" s="432">
        <f>SUMIFS('Cashbook Wix'!$B$2:$B$7012,'Cashbook Wix'!$A$2:$A$7012,"AC_")</f>
        <v>0</v>
      </c>
      <c r="K31" s="432">
        <v>0</v>
      </c>
      <c r="L31" s="523">
        <f t="shared" ref="L31:L32" si="28">I31+J31+K31</f>
        <v>0</v>
      </c>
      <c r="M31" s="531">
        <f t="shared" ref="M31:M32" si="29">L31-H31</f>
        <v>-35</v>
      </c>
      <c r="N31" s="519"/>
    </row>
    <row r="32" spans="1:14" s="520" customFormat="1" ht="30" customHeight="1" x14ac:dyDescent="0.3">
      <c r="A32" s="696"/>
      <c r="B32" s="522" t="s">
        <v>7510</v>
      </c>
      <c r="C32" s="525">
        <v>0</v>
      </c>
      <c r="D32" s="524">
        <v>5</v>
      </c>
      <c r="E32" s="432">
        <v>2</v>
      </c>
      <c r="F32" s="432">
        <f>E32*D32</f>
        <v>10</v>
      </c>
      <c r="G32" s="432">
        <v>0</v>
      </c>
      <c r="H32" s="523">
        <f t="shared" si="27"/>
        <v>10</v>
      </c>
      <c r="I32" s="525">
        <f>SUMIFS('Cashbook ING'!$B:$B, 'Cashbook ING'!$A:$A, "AC_")*-1</f>
        <v>0</v>
      </c>
      <c r="J32" s="432">
        <f>SUMIFS('Cashbook Wix'!$B$2:$B$7012,'Cashbook Wix'!$A$2:$A$7012,"AC_")</f>
        <v>0</v>
      </c>
      <c r="K32" s="432">
        <v>0</v>
      </c>
      <c r="L32" s="523">
        <f t="shared" si="28"/>
        <v>0</v>
      </c>
      <c r="M32" s="531">
        <f t="shared" si="29"/>
        <v>-10</v>
      </c>
      <c r="N32" s="519"/>
    </row>
    <row r="33" spans="1:14" ht="30" customHeight="1" x14ac:dyDescent="0.3">
      <c r="A33" s="697"/>
      <c r="B33" s="468"/>
      <c r="C33" s="320">
        <f>SUM(C30:C32)</f>
        <v>50</v>
      </c>
      <c r="D33" s="321">
        <f>SUM(D30:D32)</f>
        <v>40</v>
      </c>
      <c r="E33" s="320">
        <v>0</v>
      </c>
      <c r="F33" s="320">
        <f t="shared" ref="F33:L33" si="30">SUM(F30:F32)</f>
        <v>45</v>
      </c>
      <c r="G33" s="320">
        <f t="shared" si="30"/>
        <v>30</v>
      </c>
      <c r="H33" s="324">
        <f>SUM(H30:H32)</f>
        <v>25</v>
      </c>
      <c r="I33" s="521">
        <f>SUM(I30:I32)</f>
        <v>-29.56</v>
      </c>
      <c r="J33" s="320">
        <f t="shared" si="30"/>
        <v>0</v>
      </c>
      <c r="K33" s="320">
        <f t="shared" si="30"/>
        <v>0</v>
      </c>
      <c r="L33" s="324">
        <f t="shared" si="30"/>
        <v>-29.56</v>
      </c>
      <c r="M33" s="575">
        <f>SUM(M30:M32)</f>
        <v>-54.56</v>
      </c>
      <c r="N33" s="122"/>
    </row>
    <row r="34" spans="1:14" ht="30" customHeight="1" x14ac:dyDescent="0.3">
      <c r="A34" s="691" t="s">
        <v>7526</v>
      </c>
      <c r="B34" s="526" t="s">
        <v>7513</v>
      </c>
      <c r="C34" s="527">
        <v>245</v>
      </c>
      <c r="D34" s="528">
        <v>0</v>
      </c>
      <c r="E34" s="527">
        <v>0</v>
      </c>
      <c r="F34" s="527">
        <v>0</v>
      </c>
      <c r="G34" s="527">
        <v>210</v>
      </c>
      <c r="H34" s="529">
        <f>F34+G34-C34</f>
        <v>-35</v>
      </c>
      <c r="I34" s="530">
        <f>SUMIFS('Cashbook ING'!$B:$B, 'Cashbook ING'!$A:$A, "AC_DebateSessions")</f>
        <v>-84.9</v>
      </c>
      <c r="J34" s="527">
        <f>SUMIFS('Cashbook Wix'!$B$2:$B$7012,'Cashbook Wix'!$A$2:$A$7012,"AC_")</f>
        <v>0</v>
      </c>
      <c r="K34" s="527">
        <v>0</v>
      </c>
      <c r="L34" s="529">
        <f>I34+J34+K34</f>
        <v>-84.9</v>
      </c>
      <c r="M34" s="574">
        <f>L34-H34</f>
        <v>-49.900000000000006</v>
      </c>
      <c r="N34" s="122"/>
    </row>
    <row r="35" spans="1:14" ht="30" customHeight="1" x14ac:dyDescent="0.3">
      <c r="A35" s="692"/>
      <c r="B35" s="522" t="s">
        <v>7525</v>
      </c>
      <c r="C35" s="432">
        <v>0</v>
      </c>
      <c r="D35" s="524">
        <v>0</v>
      </c>
      <c r="E35" s="432">
        <v>0</v>
      </c>
      <c r="F35" s="432">
        <f>E35*D35</f>
        <v>0</v>
      </c>
      <c r="G35" s="432">
        <v>0</v>
      </c>
      <c r="H35" s="523">
        <f t="shared" ref="H35:H36" si="31">F35+G35-C35</f>
        <v>0</v>
      </c>
      <c r="I35" s="525">
        <f>SUMIFS('Cashbook ING'!$B:$B, 'Cashbook ING'!$A:$A, "AC_")*-1</f>
        <v>0</v>
      </c>
      <c r="J35" s="432">
        <f>SUMIFS('Cashbook Wix'!$B$2:$B$7012,'Cashbook Wix'!$A$2:$A$7012,"AC_")</f>
        <v>0</v>
      </c>
      <c r="K35" s="432">
        <v>0</v>
      </c>
      <c r="L35" s="523">
        <f t="shared" ref="L35:L36" si="32">I35+J35+K35</f>
        <v>0</v>
      </c>
      <c r="M35" s="531">
        <f t="shared" ref="M35:M36" si="33">L35-H35</f>
        <v>0</v>
      </c>
      <c r="N35" s="122"/>
    </row>
    <row r="36" spans="1:14" ht="30" customHeight="1" x14ac:dyDescent="0.3">
      <c r="A36" s="692"/>
      <c r="B36" s="522" t="s">
        <v>7510</v>
      </c>
      <c r="C36" s="525">
        <v>0</v>
      </c>
      <c r="D36" s="524">
        <v>0</v>
      </c>
      <c r="E36" s="432">
        <v>0</v>
      </c>
      <c r="F36" s="432">
        <f>E36*D36</f>
        <v>0</v>
      </c>
      <c r="G36" s="432">
        <v>0</v>
      </c>
      <c r="H36" s="523">
        <f t="shared" si="31"/>
        <v>0</v>
      </c>
      <c r="I36" s="525">
        <f>SUMIFS('Cashbook ING'!$B:$B, 'Cashbook ING'!$A:$A, "AC_")*-1</f>
        <v>0</v>
      </c>
      <c r="J36" s="432">
        <f>SUMIFS('Cashbook Wix'!$B$2:$B$7012,'Cashbook Wix'!$A$2:$A$7012,"AC_")</f>
        <v>0</v>
      </c>
      <c r="K36" s="432">
        <v>0</v>
      </c>
      <c r="L36" s="523">
        <f t="shared" si="32"/>
        <v>0</v>
      </c>
      <c r="M36" s="531">
        <f t="shared" si="33"/>
        <v>0</v>
      </c>
      <c r="N36" s="122"/>
    </row>
    <row r="37" spans="1:14" ht="30" customHeight="1" x14ac:dyDescent="0.3">
      <c r="A37" s="693"/>
      <c r="B37" s="468" t="s">
        <v>7511</v>
      </c>
      <c r="C37" s="320">
        <f t="shared" ref="C37:H37" si="34">SUM(C34:C36)</f>
        <v>245</v>
      </c>
      <c r="D37" s="321">
        <f t="shared" si="34"/>
        <v>0</v>
      </c>
      <c r="E37" s="320">
        <f t="shared" si="34"/>
        <v>0</v>
      </c>
      <c r="F37" s="320">
        <f t="shared" si="34"/>
        <v>0</v>
      </c>
      <c r="G37" s="320">
        <f t="shared" si="34"/>
        <v>210</v>
      </c>
      <c r="H37" s="324">
        <f t="shared" si="34"/>
        <v>-35</v>
      </c>
      <c r="I37" s="320">
        <f>SUM(I34:I36)</f>
        <v>-84.9</v>
      </c>
      <c r="J37" s="320">
        <f>SUM(J34:J36)</f>
        <v>0</v>
      </c>
      <c r="K37" s="320">
        <f>SUM(K34:K36)</f>
        <v>0</v>
      </c>
      <c r="L37" s="324">
        <f>SUM(L34:L36)</f>
        <v>-84.9</v>
      </c>
      <c r="M37" s="575">
        <f>SUM(M34:M36)</f>
        <v>-49.900000000000006</v>
      </c>
      <c r="N37" s="122"/>
    </row>
    <row r="38" spans="1:14" ht="30" customHeight="1" x14ac:dyDescent="0.3">
      <c r="A38" s="691" t="s">
        <v>7527</v>
      </c>
      <c r="B38" s="526" t="s">
        <v>7528</v>
      </c>
      <c r="C38" s="527">
        <v>1400</v>
      </c>
      <c r="D38" s="528">
        <v>0</v>
      </c>
      <c r="E38" s="527">
        <v>0</v>
      </c>
      <c r="F38" s="527">
        <v>0</v>
      </c>
      <c r="G38" s="527">
        <v>1100</v>
      </c>
      <c r="H38" s="529">
        <f>F38+G38-C38</f>
        <v>-300</v>
      </c>
      <c r="I38" s="530">
        <f>SUMIFS('Cashbook ING'!$B:$B, 'Cashbook ING'!$A:$A, "AC_Brussels_Transport")</f>
        <v>-1488.81</v>
      </c>
      <c r="J38" s="527">
        <f>SUMIFS('Cashbook Wix'!$B$2:$B$7012,'Cashbook Wix'!$A$2:$A$7012,"AC_")</f>
        <v>0</v>
      </c>
      <c r="K38" s="656">
        <v>1200</v>
      </c>
      <c r="L38" s="529">
        <f>I38+J38+K38</f>
        <v>-288.80999999999995</v>
      </c>
      <c r="M38" s="574">
        <f>L38-H38</f>
        <v>11.190000000000055</v>
      </c>
      <c r="N38" s="122"/>
    </row>
    <row r="39" spans="1:14" ht="30" customHeight="1" x14ac:dyDescent="0.3">
      <c r="A39" s="692"/>
      <c r="B39" s="522" t="s">
        <v>7525</v>
      </c>
      <c r="C39" s="432">
        <v>0</v>
      </c>
      <c r="D39" s="524">
        <v>45</v>
      </c>
      <c r="E39" s="432">
        <v>6</v>
      </c>
      <c r="F39" s="432">
        <f>E39*D39</f>
        <v>270</v>
      </c>
      <c r="G39" s="432">
        <v>0</v>
      </c>
      <c r="H39" s="523">
        <f t="shared" ref="H39:H40" si="35">F39+G39-C39</f>
        <v>270</v>
      </c>
      <c r="I39" s="525">
        <f>SUMIFS('Cashbook ING'!$B:$B, 'Cashbook ING'!$A:$A, "AC_")*-1</f>
        <v>0</v>
      </c>
      <c r="J39" s="432">
        <f>SUMIFS('Cashbook Wix'!$B$2:$B$7012,'Cashbook Wix'!$A$2:$A$7012,"AC_Brussels_Member")</f>
        <v>338.80000000000018</v>
      </c>
      <c r="K39" s="432">
        <v>0</v>
      </c>
      <c r="L39" s="523">
        <f t="shared" ref="L39:L40" si="36">I39+J39+K39</f>
        <v>338.80000000000018</v>
      </c>
      <c r="M39" s="531">
        <f t="shared" ref="M39:M40" si="37">L39-H39</f>
        <v>68.800000000000182</v>
      </c>
      <c r="N39" s="122"/>
    </row>
    <row r="40" spans="1:14" ht="30" customHeight="1" x14ac:dyDescent="0.3">
      <c r="A40" s="692"/>
      <c r="B40" s="522" t="s">
        <v>7529</v>
      </c>
      <c r="C40" s="525">
        <v>0</v>
      </c>
      <c r="D40" s="524">
        <v>5</v>
      </c>
      <c r="E40" s="432">
        <v>8</v>
      </c>
      <c r="F40" s="432">
        <f>E40*D40</f>
        <v>40</v>
      </c>
      <c r="G40" s="432">
        <v>0</v>
      </c>
      <c r="H40" s="523">
        <f t="shared" si="35"/>
        <v>40</v>
      </c>
      <c r="I40" s="525">
        <f>SUMIFS('Cashbook ING'!$B:$B, 'Cashbook ING'!$A:$A, "AC_")*-1</f>
        <v>0</v>
      </c>
      <c r="J40" s="432">
        <f>SUMIFS('Cashbook Wix'!$B$2:$B$7012,'Cashbook Wix'!$A$2:$A$7012,"AC_Brussels_NonMember")</f>
        <v>18.96</v>
      </c>
      <c r="K40" s="432">
        <v>0</v>
      </c>
      <c r="L40" s="523">
        <f t="shared" si="36"/>
        <v>18.96</v>
      </c>
      <c r="M40" s="531">
        <f t="shared" si="37"/>
        <v>-21.04</v>
      </c>
      <c r="N40" s="122"/>
    </row>
    <row r="41" spans="1:14" ht="30" customHeight="1" thickBot="1" x14ac:dyDescent="0.35">
      <c r="A41" s="694"/>
      <c r="B41" s="470"/>
      <c r="C41" s="328">
        <f t="shared" ref="C41:H41" si="38">SUM(C38:C40)</f>
        <v>1400</v>
      </c>
      <c r="D41" s="329">
        <f t="shared" si="38"/>
        <v>50</v>
      </c>
      <c r="E41" s="328">
        <f t="shared" si="38"/>
        <v>14</v>
      </c>
      <c r="F41" s="328">
        <f t="shared" si="38"/>
        <v>310</v>
      </c>
      <c r="G41" s="328">
        <f t="shared" si="38"/>
        <v>1100</v>
      </c>
      <c r="H41" s="330">
        <f t="shared" si="38"/>
        <v>10</v>
      </c>
      <c r="I41" s="328">
        <f>SUM(I38:I40)</f>
        <v>-1488.81</v>
      </c>
      <c r="J41" s="328">
        <f>SUM(J38:J40)</f>
        <v>357.76000000000016</v>
      </c>
      <c r="K41" s="328">
        <f>SUM(K38:K40)</f>
        <v>1200</v>
      </c>
      <c r="L41" s="330">
        <f>SUM(L38:L40)</f>
        <v>68.950000000000244</v>
      </c>
      <c r="M41" s="576">
        <f>SUM(M38:M40)</f>
        <v>58.950000000000237</v>
      </c>
      <c r="N41" s="122"/>
    </row>
    <row r="42" spans="1:14" s="179" customFormat="1" ht="30" customHeight="1" thickBot="1" x14ac:dyDescent="0.4">
      <c r="A42" s="598"/>
      <c r="B42" s="599" t="s">
        <v>7443</v>
      </c>
      <c r="C42" s="408">
        <f>SUM(C6+C10+C15+C19+C29+C37+C41+C24)</f>
        <v>5174</v>
      </c>
      <c r="D42" s="408">
        <f t="shared" ref="D42:E42" si="39">SUM(D6+D10+D15+D19+D29+D24)</f>
        <v>300</v>
      </c>
      <c r="E42" s="408">
        <f t="shared" si="39"/>
        <v>0</v>
      </c>
      <c r="F42" s="408">
        <f>SUM(F6+F10+F15+F19+F29+F24+F41+F37)</f>
        <v>675</v>
      </c>
      <c r="G42" s="408">
        <f>SUM(G6+G10+G15+G19+G29+G37+G41+G24)</f>
        <v>4467</v>
      </c>
      <c r="H42" s="409">
        <f>SUM(H6+H10+H15+H19+H29+H37+H41+H24)</f>
        <v>-32</v>
      </c>
      <c r="I42" s="408">
        <f>SUM(I10+I6+I33+I37+I41+I15+I19+I29+I24)</f>
        <v>-4490.03</v>
      </c>
      <c r="J42" s="408">
        <f>SUM(J6+J10+J33+J37+J41+J15+J19+J29+J24)</f>
        <v>524.85000000000014</v>
      </c>
      <c r="K42" s="408">
        <f>SUM(K6+K10+K15+K19+K29+K24+K33+K37+K41)</f>
        <v>3717.1</v>
      </c>
      <c r="L42" s="409">
        <f>SUM(L6+L10+L15+L19+L29+L24+L33+L37+L41)</f>
        <v>-248.07999999999984</v>
      </c>
      <c r="M42" s="409">
        <f>SUM(M6+M10+M15+M19+M29+M24+M33+M37+M41)</f>
        <v>-241.07999999999984</v>
      </c>
    </row>
    <row r="43" spans="1:14" ht="14.25" customHeight="1" x14ac:dyDescent="0.2"/>
    <row r="44" spans="1:14" ht="15" customHeight="1" x14ac:dyDescent="0.2"/>
    <row r="46" spans="1:14" ht="26" x14ac:dyDescent="0.3">
      <c r="B46" s="21"/>
    </row>
  </sheetData>
  <mergeCells count="12">
    <mergeCell ref="A34:A37"/>
    <mergeCell ref="A38:A41"/>
    <mergeCell ref="A30:A33"/>
    <mergeCell ref="A25:A29"/>
    <mergeCell ref="A1:A2"/>
    <mergeCell ref="A20:A24"/>
    <mergeCell ref="I1:M1"/>
    <mergeCell ref="A3:A6"/>
    <mergeCell ref="A7:A10"/>
    <mergeCell ref="C1:H1"/>
    <mergeCell ref="A16:A19"/>
    <mergeCell ref="A11:A15"/>
  </mergeCells>
  <conditionalFormatting sqref="A3:E3 J3:J11 J6:XFD11 B7:H9 A7:A10 D10:E12 A11:C12 F11:G12 H11:I14 L12:XFD41 J16:L16 J20:K21 J25:K26 A29:K30 B31:K33 A34:K34 B35:K37 A38:K38 B39:K41">
    <cfRule type="cellIs" dxfId="103" priority="158" operator="lessThan">
      <formula>0</formula>
    </cfRule>
  </conditionalFormatting>
  <conditionalFormatting sqref="A4:G5">
    <cfRule type="cellIs" dxfId="102" priority="155" operator="lessThan">
      <formula>0</formula>
    </cfRule>
  </conditionalFormatting>
  <conditionalFormatting sqref="A13:G14">
    <cfRule type="cellIs" dxfId="101" priority="19" operator="lessThan">
      <formula>0</formula>
    </cfRule>
  </conditionalFormatting>
  <conditionalFormatting sqref="A6:H6">
    <cfRule type="cellIs" dxfId="100" priority="119" operator="lessThan">
      <formula>0</formula>
    </cfRule>
  </conditionalFormatting>
  <conditionalFormatting sqref="A16:J18">
    <cfRule type="cellIs" dxfId="99" priority="24" operator="lessThan">
      <formula>0</formula>
    </cfRule>
  </conditionalFormatting>
  <conditionalFormatting sqref="A20:J23">
    <cfRule type="cellIs" dxfId="98" priority="4" operator="lessThan">
      <formula>0</formula>
    </cfRule>
  </conditionalFormatting>
  <conditionalFormatting sqref="A25:J28">
    <cfRule type="cellIs" dxfId="97" priority="13" operator="lessThan">
      <formula>0</formula>
    </cfRule>
  </conditionalFormatting>
  <conditionalFormatting sqref="A15:K15">
    <cfRule type="cellIs" dxfId="96" priority="18" operator="lessThan">
      <formula>0</formula>
    </cfRule>
  </conditionalFormatting>
  <conditionalFormatting sqref="A19:K19">
    <cfRule type="cellIs" dxfId="95" priority="23" operator="lessThan">
      <formula>0</formula>
    </cfRule>
  </conditionalFormatting>
  <conditionalFormatting sqref="A24:K24">
    <cfRule type="cellIs" dxfId="94" priority="3" operator="lessThan">
      <formula>0</formula>
    </cfRule>
  </conditionalFormatting>
  <conditionalFormatting sqref="A42:XFD45 A1:C1 I1:XFD1 A2:B2 L2:XFD2 H2:H5 A46 C46:XFD46 A47:XFD1048576">
    <cfRule type="cellIs" dxfId="93" priority="166" operator="lessThan">
      <formula>0</formula>
    </cfRule>
  </conditionalFormatting>
  <conditionalFormatting sqref="B8:K10">
    <cfRule type="cellIs" dxfId="92" priority="44" operator="lessThan">
      <formula>0</formula>
    </cfRule>
  </conditionalFormatting>
  <conditionalFormatting sqref="C10">
    <cfRule type="cellIs" dxfId="91" priority="115" operator="lessThan">
      <formula>0</formula>
    </cfRule>
  </conditionalFormatting>
  <conditionalFormatting sqref="C42:M42">
    <cfRule type="cellIs" dxfId="90" priority="168" operator="lessThan">
      <formula>0</formula>
    </cfRule>
  </conditionalFormatting>
  <conditionalFormatting sqref="F3:F5">
    <cfRule type="cellIs" dxfId="89" priority="153" operator="lessThan">
      <formula>0</formula>
    </cfRule>
  </conditionalFormatting>
  <conditionalFormatting sqref="F10:K10">
    <cfRule type="cellIs" dxfId="88" priority="70" operator="lessThan">
      <formula>0</formula>
    </cfRule>
  </conditionalFormatting>
  <conditionalFormatting sqref="G3">
    <cfRule type="cellIs" dxfId="87" priority="88" operator="lessThan">
      <formula>0</formula>
    </cfRule>
  </conditionalFormatting>
  <conditionalFormatting sqref="I3:I6">
    <cfRule type="cellIs" dxfId="86" priority="75" operator="lessThan">
      <formula>0</formula>
    </cfRule>
  </conditionalFormatting>
  <conditionalFormatting sqref="I8:I9">
    <cfRule type="cellIs" dxfId="85" priority="84" operator="lessThan">
      <formula>0</formula>
    </cfRule>
  </conditionalFormatting>
  <conditionalFormatting sqref="I7:K7">
    <cfRule type="cellIs" dxfId="84" priority="87" operator="lessThan">
      <formula>0</formula>
    </cfRule>
  </conditionalFormatting>
  <conditionalFormatting sqref="J12:K14">
    <cfRule type="cellIs" dxfId="83" priority="16" operator="lessThan">
      <formula>0</formula>
    </cfRule>
  </conditionalFormatting>
  <conditionalFormatting sqref="K17:K18">
    <cfRule type="cellIs" dxfId="82" priority="21" operator="lessThan">
      <formula>0</formula>
    </cfRule>
  </conditionalFormatting>
  <conditionalFormatting sqref="K22:K23">
    <cfRule type="cellIs" dxfId="81" priority="1" operator="lessThan">
      <formula>0</formula>
    </cfRule>
  </conditionalFormatting>
  <conditionalFormatting sqref="K27:K28">
    <cfRule type="cellIs" dxfId="80" priority="10" operator="lessThan">
      <formula>0</formula>
    </cfRule>
  </conditionalFormatting>
  <conditionalFormatting sqref="K3:XFD5">
    <cfRule type="cellIs" dxfId="79" priority="46" operator="lessThan">
      <formula>0</formula>
    </cfRule>
  </conditionalFormatting>
  <conditionalFormatting sqref="L42">
    <cfRule type="cellIs" dxfId="78" priority="107" operator="lessThan">
      <formula>0</formula>
    </cfRule>
  </conditionalFormatting>
  <pageMargins left="0.7" right="0.7" top="0.78740157499999996" bottom="0.78740157499999996"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N42"/>
  <sheetViews>
    <sheetView zoomScale="64" zoomScaleNormal="46" zoomScalePageLayoutView="46" workbookViewId="0">
      <pane xSplit="1" ySplit="2" topLeftCell="B29" activePane="bottomRight" state="frozen"/>
      <selection pane="topRight" activeCell="O10" sqref="O10"/>
      <selection pane="bottomLeft" activeCell="O10" sqref="O10"/>
      <selection pane="bottomRight" activeCell="I4" sqref="I4"/>
    </sheetView>
  </sheetViews>
  <sheetFormatPr baseColWidth="10" defaultColWidth="10.83203125" defaultRowHeight="26.25" customHeight="1" x14ac:dyDescent="0.3"/>
  <cols>
    <col min="1" max="1" width="34.6640625" style="9" bestFit="1" customWidth="1"/>
    <col min="2" max="2" width="40.5" style="9" customWidth="1"/>
    <col min="3" max="3" width="25.83203125" style="9" customWidth="1"/>
    <col min="4" max="4" width="24.1640625" style="9" customWidth="1"/>
    <col min="5" max="5" width="30.5" style="9" customWidth="1"/>
    <col min="6" max="6" width="25.83203125" style="9" customWidth="1"/>
    <col min="7" max="7" width="35.33203125" style="9" customWidth="1"/>
    <col min="8" max="10" width="25.83203125" style="9" customWidth="1"/>
    <col min="11" max="11" width="34.1640625" style="9" customWidth="1"/>
    <col min="12" max="12" width="25.83203125" style="9" customWidth="1"/>
    <col min="13" max="13" width="40.5" style="9" customWidth="1"/>
    <col min="14" max="14" width="18" style="9" customWidth="1"/>
    <col min="15" max="16384" width="10.83203125" style="9"/>
  </cols>
  <sheetData>
    <row r="1" spans="1:14" ht="30" customHeight="1" x14ac:dyDescent="0.3">
      <c r="A1" s="677" t="s">
        <v>7456</v>
      </c>
      <c r="B1" s="676" t="s">
        <v>7</v>
      </c>
      <c r="C1" s="674" t="s">
        <v>7348</v>
      </c>
      <c r="D1" s="674"/>
      <c r="E1" s="674"/>
      <c r="F1" s="674"/>
      <c r="G1" s="674"/>
      <c r="H1" s="674"/>
      <c r="I1" s="675" t="s">
        <v>7503</v>
      </c>
      <c r="J1" s="675"/>
      <c r="K1" s="675"/>
      <c r="L1" s="675"/>
      <c r="M1" s="675"/>
    </row>
    <row r="2" spans="1:14" ht="30" customHeight="1" x14ac:dyDescent="0.3">
      <c r="A2" s="677"/>
      <c r="B2" s="701" t="s">
        <v>7457</v>
      </c>
      <c r="C2" s="314" t="s">
        <v>7350</v>
      </c>
      <c r="D2" s="315" t="s">
        <v>7530</v>
      </c>
      <c r="E2" s="316" t="s">
        <v>7352</v>
      </c>
      <c r="F2" s="317" t="s">
        <v>7353</v>
      </c>
      <c r="G2" s="318" t="s">
        <v>7458</v>
      </c>
      <c r="H2" s="308" t="s">
        <v>7355</v>
      </c>
      <c r="I2" s="309" t="s">
        <v>7350</v>
      </c>
      <c r="J2" s="310" t="s">
        <v>7353</v>
      </c>
      <c r="K2" s="313" t="s">
        <v>7458</v>
      </c>
      <c r="L2" s="311" t="s">
        <v>7355</v>
      </c>
      <c r="M2" s="312" t="s">
        <v>7459</v>
      </c>
    </row>
    <row r="3" spans="1:14" ht="30" customHeight="1" x14ac:dyDescent="0.3">
      <c r="A3" s="706" t="s">
        <v>7531</v>
      </c>
      <c r="B3" s="202" t="s">
        <v>7532</v>
      </c>
      <c r="C3" s="607">
        <f>30+30+35+40</f>
        <v>135</v>
      </c>
      <c r="D3" s="149">
        <v>0</v>
      </c>
      <c r="E3" s="148">
        <v>0</v>
      </c>
      <c r="F3" s="199">
        <v>0</v>
      </c>
      <c r="G3" s="199">
        <v>95</v>
      </c>
      <c r="H3" s="171">
        <f t="shared" ref="H3:H6" si="0">G3+F3-C3</f>
        <v>-40</v>
      </c>
      <c r="I3" s="148">
        <f>SUMIFS('Cashbook ING'!$B:$B, 'Cashbook ING'!$A:$A, "ART_MovieNight_Snacks")</f>
        <v>-99.84</v>
      </c>
      <c r="J3" s="199">
        <f>SUMIFS('Cashbook Wix'!$B$2:$B$7012,'Cashbook Wix'!$A$2:$A$7012,"ART_")</f>
        <v>0</v>
      </c>
      <c r="K3" s="148">
        <v>0</v>
      </c>
      <c r="L3" s="171">
        <f>I3+J3+K3</f>
        <v>-99.84</v>
      </c>
      <c r="M3" s="577">
        <f>L3-H3</f>
        <v>-59.84</v>
      </c>
    </row>
    <row r="4" spans="1:14" ht="30" customHeight="1" x14ac:dyDescent="0.3">
      <c r="A4" s="706"/>
      <c r="B4" s="202" t="s">
        <v>7533</v>
      </c>
      <c r="C4" s="607">
        <v>50</v>
      </c>
      <c r="D4" s="149">
        <v>0</v>
      </c>
      <c r="E4" s="148">
        <v>0</v>
      </c>
      <c r="F4" s="199">
        <v>0</v>
      </c>
      <c r="G4" s="199">
        <v>50</v>
      </c>
      <c r="H4" s="171">
        <f t="shared" si="0"/>
        <v>0</v>
      </c>
      <c r="I4" s="148">
        <f>SUMIFS('Cashbook ING'!$B:$B, 'Cashbook ING'!$A:$A, "ART_")</f>
        <v>0</v>
      </c>
      <c r="J4" s="199">
        <f>SUMIFS('Cashbook Wix'!$B$2:$B$7012,'Cashbook Wix'!$A$2:$A$7012,"ART_")</f>
        <v>0</v>
      </c>
      <c r="K4" s="148">
        <v>0</v>
      </c>
      <c r="L4" s="171">
        <f t="shared" ref="L4:L5" si="1">I4+J4+K4</f>
        <v>0</v>
      </c>
      <c r="M4" s="578">
        <f t="shared" ref="M4:M5" si="2">L4-H4</f>
        <v>0</v>
      </c>
    </row>
    <row r="5" spans="1:14" ht="30" customHeight="1" x14ac:dyDescent="0.3">
      <c r="A5" s="706"/>
      <c r="B5" s="147" t="s">
        <v>7509</v>
      </c>
      <c r="C5" s="148">
        <v>0</v>
      </c>
      <c r="D5" s="149">
        <v>0</v>
      </c>
      <c r="E5" s="148">
        <v>0</v>
      </c>
      <c r="F5" s="148">
        <f t="shared" ref="F5:F6" si="3">E5*D5</f>
        <v>0</v>
      </c>
      <c r="G5" s="148">
        <v>0</v>
      </c>
      <c r="H5" s="171">
        <f t="shared" si="0"/>
        <v>0</v>
      </c>
      <c r="I5" s="148">
        <f>SUMIFS('Cashbook ING'!$B:$B, 'Cashbook ING'!$A:$A, "ART_")</f>
        <v>0</v>
      </c>
      <c r="J5" s="148">
        <f>SUMIFS('Cashbook Wix'!$B$2:$B$7012,'Cashbook Wix'!$A$2:$A$7012,"ART_")</f>
        <v>0</v>
      </c>
      <c r="K5" s="148">
        <v>0</v>
      </c>
      <c r="L5" s="171">
        <f t="shared" si="1"/>
        <v>0</v>
      </c>
      <c r="M5" s="578">
        <f t="shared" si="2"/>
        <v>0</v>
      </c>
    </row>
    <row r="6" spans="1:14" ht="30" customHeight="1" x14ac:dyDescent="0.3">
      <c r="A6" s="706"/>
      <c r="B6" s="147" t="s">
        <v>7510</v>
      </c>
      <c r="C6" s="148">
        <v>0</v>
      </c>
      <c r="D6" s="149">
        <v>0</v>
      </c>
      <c r="E6" s="148">
        <v>0</v>
      </c>
      <c r="F6" s="148">
        <f t="shared" si="3"/>
        <v>0</v>
      </c>
      <c r="G6" s="148">
        <v>0</v>
      </c>
      <c r="H6" s="171">
        <f t="shared" si="0"/>
        <v>0</v>
      </c>
      <c r="I6" s="148">
        <f>SUMIFS('Cashbook ING'!$B:$B, 'Cashbook ING'!$A:$A, "ART_")</f>
        <v>0</v>
      </c>
      <c r="J6" s="148">
        <f>SUMIFS('Cashbook Wix'!$B$2:$B$7012,'Cashbook Wix'!$A$2:$A$7012,"ART_")</f>
        <v>0</v>
      </c>
      <c r="K6" s="148">
        <v>0</v>
      </c>
      <c r="L6" s="171">
        <f t="shared" ref="L6" si="4">I6+J6+K6</f>
        <v>0</v>
      </c>
      <c r="M6" s="171">
        <f>L6-H6</f>
        <v>0</v>
      </c>
    </row>
    <row r="7" spans="1:14" ht="30" customHeight="1" x14ac:dyDescent="0.3">
      <c r="A7" s="706"/>
      <c r="B7" s="369" t="s">
        <v>7511</v>
      </c>
      <c r="C7" s="320">
        <f>SUM(C3:C6)</f>
        <v>185</v>
      </c>
      <c r="D7" s="321">
        <f>SUM(D5:D6)</f>
        <v>0</v>
      </c>
      <c r="E7" s="320">
        <v>0</v>
      </c>
      <c r="F7" s="322">
        <f t="shared" ref="F7:L7" si="5">SUM(F3:F6)</f>
        <v>0</v>
      </c>
      <c r="G7" s="322">
        <f t="shared" si="5"/>
        <v>145</v>
      </c>
      <c r="H7" s="323">
        <f t="shared" si="5"/>
        <v>-40</v>
      </c>
      <c r="I7" s="320">
        <f>SUM(I3:I6)</f>
        <v>-99.84</v>
      </c>
      <c r="J7" s="322">
        <f t="shared" si="5"/>
        <v>0</v>
      </c>
      <c r="K7" s="322">
        <f t="shared" si="5"/>
        <v>0</v>
      </c>
      <c r="L7" s="323">
        <f t="shared" si="5"/>
        <v>-99.84</v>
      </c>
      <c r="M7" s="323">
        <f>SUM(M3:M6)</f>
        <v>-59.84</v>
      </c>
      <c r="N7" s="125"/>
    </row>
    <row r="8" spans="1:14" ht="30" customHeight="1" x14ac:dyDescent="0.3">
      <c r="A8" s="707" t="s">
        <v>7534</v>
      </c>
      <c r="B8" s="201" t="s">
        <v>7535</v>
      </c>
      <c r="C8" s="198">
        <v>60</v>
      </c>
      <c r="D8" s="146">
        <v>0</v>
      </c>
      <c r="E8" s="145">
        <v>0</v>
      </c>
      <c r="F8" s="198">
        <v>0</v>
      </c>
      <c r="G8" s="198">
        <v>0</v>
      </c>
      <c r="H8" s="170">
        <f t="shared" ref="H8:H12" si="6">F8+G8-C8</f>
        <v>-60</v>
      </c>
      <c r="I8" s="145">
        <f>SUMIFS('Cashbook ING'!$B:$B, 'Cashbook ING'!$A:$A, "ART_")</f>
        <v>0</v>
      </c>
      <c r="J8" s="198">
        <f>SUMIFS('Cashbook Wix'!$B$2:$B$7012,'Cashbook Wix'!$A$2:$A$7012,"ART_")</f>
        <v>0</v>
      </c>
      <c r="K8" s="145">
        <v>0</v>
      </c>
      <c r="L8" s="170">
        <f>J8+K8+I8</f>
        <v>0</v>
      </c>
      <c r="M8" s="170">
        <f>L8-H8</f>
        <v>60</v>
      </c>
    </row>
    <row r="9" spans="1:14" ht="30" customHeight="1" x14ac:dyDescent="0.3">
      <c r="A9" s="706"/>
      <c r="B9" s="202" t="s">
        <v>7508</v>
      </c>
      <c r="C9" s="199">
        <v>25</v>
      </c>
      <c r="D9" s="149">
        <v>0</v>
      </c>
      <c r="E9" s="148">
        <v>0</v>
      </c>
      <c r="F9" s="199">
        <v>0</v>
      </c>
      <c r="G9" s="199">
        <v>0</v>
      </c>
      <c r="H9" s="171">
        <f t="shared" ref="H9:H10" si="7">F9+G9-C9</f>
        <v>-25</v>
      </c>
      <c r="I9" s="148">
        <f>SUMIFS('Cashbook ING'!$B:$B, 'Cashbook ING'!$A:$A, "ART_SipandPaint_Snacks")</f>
        <v>-43.85</v>
      </c>
      <c r="J9" s="199">
        <f>SUMIFS('Cashbook Wix'!$B$2:$B$7012,'Cashbook Wix'!$A$2:$A$7012,"ART_")</f>
        <v>0</v>
      </c>
      <c r="K9" s="148">
        <v>0</v>
      </c>
      <c r="L9" s="171">
        <f>J9+K9+I9</f>
        <v>-43.85</v>
      </c>
      <c r="M9" s="171">
        <f>L9-H9</f>
        <v>-18.850000000000001</v>
      </c>
    </row>
    <row r="10" spans="1:14" ht="30" customHeight="1" x14ac:dyDescent="0.3">
      <c r="A10" s="706"/>
      <c r="B10" s="202" t="s">
        <v>7536</v>
      </c>
      <c r="C10" s="199">
        <v>90</v>
      </c>
      <c r="D10" s="149">
        <v>0</v>
      </c>
      <c r="E10" s="148">
        <v>0</v>
      </c>
      <c r="F10" s="199">
        <v>0</v>
      </c>
      <c r="G10" s="199">
        <v>0</v>
      </c>
      <c r="H10" s="171">
        <f t="shared" si="7"/>
        <v>-90</v>
      </c>
      <c r="I10" s="148">
        <f>SUMIFS('Cashbook ING'!$B:$B, 'Cashbook ING'!$A:$A, "ART_SipandPaint_Supplies")</f>
        <v>-32.85</v>
      </c>
      <c r="J10" s="199">
        <f>SUMIFS('Cashbook Wix'!$B$2:$B$7012,'Cashbook Wix'!$A$2:$A$7012,"ART_")</f>
        <v>0</v>
      </c>
      <c r="K10" s="148">
        <v>0</v>
      </c>
      <c r="L10" s="171">
        <f>I10+J10+K10</f>
        <v>-32.85</v>
      </c>
      <c r="M10" s="171">
        <f>L10-H10</f>
        <v>57.15</v>
      </c>
    </row>
    <row r="11" spans="1:14" ht="30" customHeight="1" x14ac:dyDescent="0.3">
      <c r="A11" s="706"/>
      <c r="B11" s="147" t="s">
        <v>7509</v>
      </c>
      <c r="C11" s="148">
        <v>0</v>
      </c>
      <c r="D11" s="524">
        <v>45</v>
      </c>
      <c r="E11" s="148">
        <v>4</v>
      </c>
      <c r="F11" s="148">
        <f>D11*E11</f>
        <v>180</v>
      </c>
      <c r="G11" s="148">
        <v>0</v>
      </c>
      <c r="H11" s="171">
        <f t="shared" si="6"/>
        <v>180</v>
      </c>
      <c r="I11" s="148">
        <f>SUMIFS('Cashbook ING'!$B:$B, 'Cashbook ING'!$A:$A, "ART_")</f>
        <v>0</v>
      </c>
      <c r="J11" s="199">
        <f>SUMIFS('Cashbook Wix'!$B$2:$B$7012,'Cashbook Wix'!$A$2:$A$7012,"ART_SipandPaint_Member")</f>
        <v>46.94</v>
      </c>
      <c r="K11" s="148">
        <v>0</v>
      </c>
      <c r="L11" s="171">
        <f t="shared" ref="L11:L12" si="8">I11+J11+K11</f>
        <v>46.94</v>
      </c>
      <c r="M11" s="171">
        <f>L11-H11</f>
        <v>-133.06</v>
      </c>
    </row>
    <row r="12" spans="1:14" ht="30" customHeight="1" x14ac:dyDescent="0.3">
      <c r="A12" s="706"/>
      <c r="B12" s="147" t="s">
        <v>7510</v>
      </c>
      <c r="C12" s="148">
        <v>0</v>
      </c>
      <c r="D12" s="524">
        <v>5</v>
      </c>
      <c r="E12" s="148">
        <v>6</v>
      </c>
      <c r="F12" s="148">
        <f>D12*E12</f>
        <v>30</v>
      </c>
      <c r="G12" s="148">
        <v>0</v>
      </c>
      <c r="H12" s="171">
        <f t="shared" si="6"/>
        <v>30</v>
      </c>
      <c r="I12" s="148">
        <f>SUMIFS('Cashbook ING'!$B:$B, 'Cashbook ING'!$A:$A, "ART_")</f>
        <v>0</v>
      </c>
      <c r="J12" s="148">
        <f>SUMIFS('Cashbook Wix'!$B$2:$B$7012,'Cashbook Wix'!$A$2:$A$7012,"ART_SipandPaint_NonMember")</f>
        <v>0</v>
      </c>
      <c r="K12" s="148">
        <v>0</v>
      </c>
      <c r="L12" s="171">
        <f t="shared" si="8"/>
        <v>0</v>
      </c>
      <c r="M12" s="171">
        <f>L12-H12</f>
        <v>-30</v>
      </c>
    </row>
    <row r="13" spans="1:14" ht="30" customHeight="1" x14ac:dyDescent="0.3">
      <c r="A13" s="706"/>
      <c r="B13" s="369" t="s">
        <v>7511</v>
      </c>
      <c r="C13" s="320">
        <f>SUM(C8:C12)</f>
        <v>175</v>
      </c>
      <c r="D13" s="321">
        <f>SUM(D11:D12)</f>
        <v>50</v>
      </c>
      <c r="E13" s="320">
        <v>0</v>
      </c>
      <c r="F13" s="322">
        <f t="shared" ref="F13:L13" si="9">SUM(F8:F12)</f>
        <v>210</v>
      </c>
      <c r="G13" s="322">
        <f t="shared" si="9"/>
        <v>0</v>
      </c>
      <c r="H13" s="338">
        <f>SUM(H8:H12)</f>
        <v>35</v>
      </c>
      <c r="I13" s="320">
        <f>SUM(I8:I12)</f>
        <v>-76.7</v>
      </c>
      <c r="J13" s="322">
        <f t="shared" si="9"/>
        <v>46.94</v>
      </c>
      <c r="K13" s="322">
        <f>SUM(K8:K12)</f>
        <v>0</v>
      </c>
      <c r="L13" s="323">
        <f t="shared" si="9"/>
        <v>-29.760000000000005</v>
      </c>
      <c r="M13" s="338">
        <f>SUM(M8:M12)</f>
        <v>-64.760000000000005</v>
      </c>
      <c r="N13" s="125"/>
    </row>
    <row r="14" spans="1:14" ht="30" customHeight="1" x14ac:dyDescent="0.3">
      <c r="A14" s="707" t="s">
        <v>7537</v>
      </c>
      <c r="B14" s="201" t="s">
        <v>7414</v>
      </c>
      <c r="C14" s="198">
        <v>120</v>
      </c>
      <c r="D14" s="146">
        <v>0</v>
      </c>
      <c r="E14" s="145">
        <v>0</v>
      </c>
      <c r="F14" s="198">
        <v>0</v>
      </c>
      <c r="G14" s="198">
        <v>120</v>
      </c>
      <c r="H14" s="171">
        <f t="shared" ref="H14:H20" si="10">F14+G14-C14</f>
        <v>0</v>
      </c>
      <c r="I14" s="145">
        <f>SUMIFS('Cashbook ING'!$B:$B, 'Cashbook ING'!$A:$A, "ART_Gingerbread_Gingerbread")</f>
        <v>-118.65</v>
      </c>
      <c r="J14" s="198">
        <f>SUMIFS('Cashbook Wix'!$B$2:$B$7012,'Cashbook Wix'!$A$2:$A$7012,"ART_")</f>
        <v>0</v>
      </c>
      <c r="K14" s="145">
        <v>0</v>
      </c>
      <c r="L14" s="170">
        <f>J14+K14+I14</f>
        <v>-118.65</v>
      </c>
      <c r="M14" s="171">
        <f>L14-H14</f>
        <v>-118.65</v>
      </c>
    </row>
    <row r="15" spans="1:14" ht="30" customHeight="1" x14ac:dyDescent="0.3">
      <c r="A15" s="706"/>
      <c r="B15" s="608" t="s">
        <v>7538</v>
      </c>
      <c r="C15" s="607">
        <v>50</v>
      </c>
      <c r="D15" s="149">
        <v>0</v>
      </c>
      <c r="E15" s="148">
        <v>0</v>
      </c>
      <c r="F15" s="199">
        <v>0</v>
      </c>
      <c r="G15" s="199">
        <v>0</v>
      </c>
      <c r="H15" s="171">
        <f t="shared" si="10"/>
        <v>-50</v>
      </c>
      <c r="I15" s="148">
        <f>SUMIFS('Cashbook ING'!$B:$B, 'Cashbook ING'!$A:$A, "ART_Gingerbread_Decoration")</f>
        <v>-49.92</v>
      </c>
      <c r="J15" s="199">
        <f>SUMIFS('Cashbook Wix'!$B$2:$B$7012,'Cashbook Wix'!$A$2:$A$7012,"ART_")</f>
        <v>0</v>
      </c>
      <c r="K15" s="148">
        <v>0</v>
      </c>
      <c r="L15" s="171">
        <f t="shared" ref="L15:L18" si="11">J15+K15+I15</f>
        <v>-49.92</v>
      </c>
      <c r="M15" s="171">
        <f t="shared" ref="M15:M18" si="12">L15-H15</f>
        <v>7.9999999999998295E-2</v>
      </c>
    </row>
    <row r="16" spans="1:14" ht="30" customHeight="1" x14ac:dyDescent="0.3">
      <c r="A16" s="706"/>
      <c r="B16" s="202" t="s">
        <v>7539</v>
      </c>
      <c r="C16" s="199">
        <v>0</v>
      </c>
      <c r="D16" s="149">
        <v>0</v>
      </c>
      <c r="E16" s="532">
        <v>0</v>
      </c>
      <c r="F16" s="199">
        <v>0</v>
      </c>
      <c r="G16" s="199">
        <v>0</v>
      </c>
      <c r="H16" s="171">
        <f t="shared" si="10"/>
        <v>0</v>
      </c>
      <c r="I16" s="148">
        <f>SUMIFS('Cashbook ING'!$B:$B, 'Cashbook ING'!$A:$A, "ART_")</f>
        <v>0</v>
      </c>
      <c r="J16" s="199">
        <f>SUMIFS('Cashbook Wix'!$B$2:$B$7012,'Cashbook Wix'!$A$2:$A$7012,"ART_")</f>
        <v>0</v>
      </c>
      <c r="K16" s="148">
        <v>0</v>
      </c>
      <c r="L16" s="171">
        <f t="shared" si="11"/>
        <v>0</v>
      </c>
      <c r="M16" s="171">
        <f t="shared" si="12"/>
        <v>0</v>
      </c>
    </row>
    <row r="17" spans="1:14" ht="30" customHeight="1" x14ac:dyDescent="0.3">
      <c r="A17" s="706"/>
      <c r="B17" s="202" t="s">
        <v>7540</v>
      </c>
      <c r="C17" s="199">
        <v>0</v>
      </c>
      <c r="D17" s="149">
        <v>0</v>
      </c>
      <c r="E17" s="148">
        <v>0</v>
      </c>
      <c r="F17" s="199">
        <v>0</v>
      </c>
      <c r="G17" s="199">
        <v>0</v>
      </c>
      <c r="H17" s="171">
        <f t="shared" si="10"/>
        <v>0</v>
      </c>
      <c r="I17" s="148">
        <f>SUMIFS('Cashbook ING'!$B:$B, 'Cashbook ING'!$A:$A, "ART_")</f>
        <v>0</v>
      </c>
      <c r="J17" s="199">
        <f>SUMIFS('Cashbook Wix'!$B$2:$B$7012,'Cashbook Wix'!$A$2:$A$7012,"ART_")</f>
        <v>0</v>
      </c>
      <c r="K17" s="148">
        <v>0</v>
      </c>
      <c r="L17" s="171">
        <f t="shared" si="11"/>
        <v>0</v>
      </c>
      <c r="M17" s="171">
        <f t="shared" si="12"/>
        <v>0</v>
      </c>
    </row>
    <row r="18" spans="1:14" ht="30" customHeight="1" x14ac:dyDescent="0.3">
      <c r="A18" s="706"/>
      <c r="B18" s="202" t="s">
        <v>7520</v>
      </c>
      <c r="C18" s="199">
        <v>10</v>
      </c>
      <c r="D18" s="149">
        <v>0</v>
      </c>
      <c r="E18" s="148">
        <v>0</v>
      </c>
      <c r="F18" s="199">
        <v>0</v>
      </c>
      <c r="G18" s="199">
        <v>0</v>
      </c>
      <c r="H18" s="171">
        <f t="shared" si="10"/>
        <v>-10</v>
      </c>
      <c r="I18" s="148">
        <f>SUMIFS('Cashbook ING'!$B:$B, 'Cashbook ING'!$A:$A, "ART_Gingerbread_Price")</f>
        <v>-9.36</v>
      </c>
      <c r="J18" s="199">
        <f>SUMIFS('Cashbook Wix'!$B$2:$B$7012,'Cashbook Wix'!$A$2:$A$7012,"ART_Gingerbread_Member")</f>
        <v>60.109999999999985</v>
      </c>
      <c r="K18" s="148">
        <v>0</v>
      </c>
      <c r="L18" s="171">
        <f t="shared" si="11"/>
        <v>50.749999999999986</v>
      </c>
      <c r="M18" s="171">
        <f t="shared" si="12"/>
        <v>60.749999999999986</v>
      </c>
    </row>
    <row r="19" spans="1:14" ht="30" customHeight="1" x14ac:dyDescent="0.3">
      <c r="A19" s="706"/>
      <c r="B19" s="147" t="s">
        <v>7509</v>
      </c>
      <c r="C19" s="148">
        <v>0</v>
      </c>
      <c r="D19" s="149">
        <v>60</v>
      </c>
      <c r="E19" s="148">
        <v>2.5</v>
      </c>
      <c r="F19" s="148">
        <f>D19*E19</f>
        <v>150</v>
      </c>
      <c r="G19" s="148">
        <v>0</v>
      </c>
      <c r="H19" s="171">
        <f t="shared" si="10"/>
        <v>150</v>
      </c>
      <c r="I19" s="148">
        <f>SUMIFS('Cashbook ING'!$B:$B, 'Cashbook ING'!$A:$A, "ART_")</f>
        <v>0</v>
      </c>
      <c r="J19" s="199">
        <f>SUMIFS('Cashbook Wix'!$B$2:$B$7012,'Cashbook Wix'!$A$2:$A$7012,"ART_Gingerbread_NonMember")</f>
        <v>20.47</v>
      </c>
      <c r="K19" s="148">
        <v>0</v>
      </c>
      <c r="L19" s="171">
        <f>J19+K19+I19</f>
        <v>20.47</v>
      </c>
      <c r="M19" s="171">
        <f>L19-H19</f>
        <v>-129.53</v>
      </c>
    </row>
    <row r="20" spans="1:14" ht="30" customHeight="1" x14ac:dyDescent="0.3">
      <c r="A20" s="706"/>
      <c r="B20" s="147" t="s">
        <v>7510</v>
      </c>
      <c r="C20" s="148">
        <v>0</v>
      </c>
      <c r="D20" s="149">
        <v>8</v>
      </c>
      <c r="E20" s="148">
        <v>4.5</v>
      </c>
      <c r="F20" s="148">
        <f>D20*E20</f>
        <v>36</v>
      </c>
      <c r="G20" s="148">
        <v>0</v>
      </c>
      <c r="H20" s="171">
        <f t="shared" si="10"/>
        <v>36</v>
      </c>
      <c r="I20" s="148">
        <f>SUMIFS('Cashbook ING'!$B:$B, 'Cashbook ING'!$A:$A, "ART_")</f>
        <v>0</v>
      </c>
      <c r="J20" s="148">
        <f>SUMIFS('Cashbook Wix'!$B$2:$B$7012,'Cashbook Wix'!$A$2:$A$7012,"ART_")</f>
        <v>0</v>
      </c>
      <c r="K20" s="148">
        <v>0</v>
      </c>
      <c r="L20" s="171">
        <f>J20+K20+I20</f>
        <v>0</v>
      </c>
      <c r="M20" s="171">
        <f>L20-H20</f>
        <v>-36</v>
      </c>
    </row>
    <row r="21" spans="1:14" ht="30" customHeight="1" x14ac:dyDescent="0.3">
      <c r="A21" s="706"/>
      <c r="B21" s="369" t="s">
        <v>7511</v>
      </c>
      <c r="C21" s="320">
        <f>SUM(C14:C20)</f>
        <v>180</v>
      </c>
      <c r="D21" s="321">
        <f>SUM(D19:D20)</f>
        <v>68</v>
      </c>
      <c r="E21" s="320">
        <v>0</v>
      </c>
      <c r="F21" s="322">
        <f t="shared" ref="F21:K21" si="13">SUM(F14:F20)</f>
        <v>186</v>
      </c>
      <c r="G21" s="322">
        <f t="shared" si="13"/>
        <v>120</v>
      </c>
      <c r="H21" s="323">
        <f t="shared" si="13"/>
        <v>126</v>
      </c>
      <c r="I21" s="320">
        <f>SUM(I14:I20)</f>
        <v>-177.93</v>
      </c>
      <c r="J21" s="322">
        <f t="shared" si="13"/>
        <v>80.579999999999984</v>
      </c>
      <c r="K21" s="322">
        <f t="shared" si="13"/>
        <v>0</v>
      </c>
      <c r="L21" s="323">
        <f>SUM(L14:L20)</f>
        <v>-97.350000000000009</v>
      </c>
      <c r="M21" s="324">
        <f>SUM(M14:M20)</f>
        <v>-223.35000000000002</v>
      </c>
      <c r="N21" s="125"/>
    </row>
    <row r="22" spans="1:14" ht="30" customHeight="1" x14ac:dyDescent="0.3">
      <c r="A22" s="703" t="s">
        <v>7541</v>
      </c>
      <c r="B22" s="201" t="s">
        <v>7542</v>
      </c>
      <c r="C22" s="198">
        <v>30</v>
      </c>
      <c r="D22" s="146">
        <v>0</v>
      </c>
      <c r="E22" s="145">
        <v>0</v>
      </c>
      <c r="F22" s="198">
        <v>0</v>
      </c>
      <c r="G22" s="198">
        <v>0</v>
      </c>
      <c r="H22" s="170">
        <f t="shared" ref="H22:H26" si="14">F22+G22-C22</f>
        <v>-30</v>
      </c>
      <c r="I22" s="145">
        <f>SUMIFS('Cashbook ING'!$B:$B, 'Cashbook ING'!$A:$A, "ART_")</f>
        <v>0</v>
      </c>
      <c r="J22" s="198">
        <f>SUMIFS('Cashbook Wix'!$B$2:$B$7012,'Cashbook Wix'!$A$2:$A$7012,"ART_")</f>
        <v>0</v>
      </c>
      <c r="K22" s="145">
        <v>0</v>
      </c>
      <c r="L22" s="170">
        <f>J22+K22+I22</f>
        <v>0</v>
      </c>
      <c r="M22" s="577">
        <f>L22-H22</f>
        <v>30</v>
      </c>
    </row>
    <row r="23" spans="1:14" ht="30" customHeight="1" x14ac:dyDescent="0.3">
      <c r="A23" s="704"/>
      <c r="B23" s="202" t="s">
        <v>7543</v>
      </c>
      <c r="C23" s="199">
        <v>500</v>
      </c>
      <c r="D23" s="149">
        <v>0</v>
      </c>
      <c r="E23" s="148">
        <v>0</v>
      </c>
      <c r="F23" s="199">
        <v>0</v>
      </c>
      <c r="G23" s="199">
        <v>200</v>
      </c>
      <c r="H23" s="171">
        <f t="shared" si="14"/>
        <v>-300</v>
      </c>
      <c r="I23" s="148">
        <f>SUMIFS('Cashbook ING'!$B:$B, 'Cashbook ING'!$A:$A, "ART_Beads_Supplies")</f>
        <v>-49.85</v>
      </c>
      <c r="J23" s="199">
        <f>SUMIFS('Cashbook Wix'!$B$2:$B$7012,'Cashbook Wix'!$A$2:$A$7012,"ART_")</f>
        <v>0</v>
      </c>
      <c r="K23" s="148">
        <v>0</v>
      </c>
      <c r="L23" s="171">
        <f t="shared" ref="L23:L24" si="15">J23+K23+I23</f>
        <v>-49.85</v>
      </c>
      <c r="M23" s="578">
        <f t="shared" ref="M23:M24" si="16">L23-H23</f>
        <v>250.15</v>
      </c>
    </row>
    <row r="24" spans="1:14" ht="30" customHeight="1" x14ac:dyDescent="0.3">
      <c r="A24" s="704"/>
      <c r="B24" s="202" t="s">
        <v>7544</v>
      </c>
      <c r="C24" s="199">
        <v>53</v>
      </c>
      <c r="D24" s="149">
        <v>0</v>
      </c>
      <c r="E24" s="148">
        <v>0</v>
      </c>
      <c r="F24" s="199">
        <v>0</v>
      </c>
      <c r="G24" s="199">
        <v>0</v>
      </c>
      <c r="H24" s="171">
        <f t="shared" si="14"/>
        <v>-53</v>
      </c>
      <c r="I24" s="148">
        <f>SUMIFS('Cashbook ING'!$B:$B, 'Cashbook ING'!$A:$A, "ART_")</f>
        <v>0</v>
      </c>
      <c r="J24" s="199">
        <f>SUMIFS('Cashbook Wix'!$B$2:$B$7012,'Cashbook Wix'!$A$2:$A$7012,"ART_")</f>
        <v>0</v>
      </c>
      <c r="K24" s="148">
        <v>0</v>
      </c>
      <c r="L24" s="171">
        <f t="shared" si="15"/>
        <v>0</v>
      </c>
      <c r="M24" s="578">
        <f t="shared" si="16"/>
        <v>53</v>
      </c>
    </row>
    <row r="25" spans="1:14" ht="30" customHeight="1" x14ac:dyDescent="0.3">
      <c r="A25" s="704"/>
      <c r="B25" s="147" t="s">
        <v>7509</v>
      </c>
      <c r="C25" s="148">
        <v>0</v>
      </c>
      <c r="D25" s="149">
        <v>35</v>
      </c>
      <c r="E25" s="148">
        <v>7</v>
      </c>
      <c r="F25" s="148">
        <f t="shared" ref="F25:F26" si="17">E25*D25</f>
        <v>245</v>
      </c>
      <c r="G25" s="148">
        <v>0</v>
      </c>
      <c r="H25" s="171">
        <f t="shared" si="14"/>
        <v>245</v>
      </c>
      <c r="I25" s="148">
        <f>SUMIFS('Cashbook ING'!$B:$B, 'Cashbook ING'!$A:$A, "ART_")</f>
        <v>0</v>
      </c>
      <c r="J25" s="148">
        <f>SUMIFS('Cashbook Wix'!$B$2:$B$7012,'Cashbook Wix'!$A$2:$A$7012,"ART_")</f>
        <v>0</v>
      </c>
      <c r="K25" s="148">
        <v>0</v>
      </c>
      <c r="L25" s="171">
        <f t="shared" ref="L25:L26" si="18">J25+K25+I25</f>
        <v>0</v>
      </c>
      <c r="M25" s="171">
        <f>L25-H25</f>
        <v>-245</v>
      </c>
    </row>
    <row r="26" spans="1:14" ht="30" customHeight="1" x14ac:dyDescent="0.3">
      <c r="A26" s="704"/>
      <c r="B26" s="147" t="s">
        <v>7510</v>
      </c>
      <c r="C26" s="148">
        <v>0</v>
      </c>
      <c r="D26" s="149">
        <v>5</v>
      </c>
      <c r="E26" s="148">
        <v>9</v>
      </c>
      <c r="F26" s="148">
        <f t="shared" si="17"/>
        <v>45</v>
      </c>
      <c r="G26" s="148">
        <v>0</v>
      </c>
      <c r="H26" s="171">
        <f t="shared" si="14"/>
        <v>45</v>
      </c>
      <c r="I26" s="148">
        <f>SUMIFS('Cashbook ING'!$B:$B, 'Cashbook ING'!$A:$A, "ART_")</f>
        <v>0</v>
      </c>
      <c r="J26" s="148">
        <f>SUMIFS('Cashbook Wix'!$B$2:$B$7012,'Cashbook Wix'!$A$2:$A$7012,"ART_")</f>
        <v>0</v>
      </c>
      <c r="K26" s="148">
        <v>0</v>
      </c>
      <c r="L26" s="171">
        <f t="shared" si="18"/>
        <v>0</v>
      </c>
      <c r="M26" s="171">
        <f>L26-H26</f>
        <v>-45</v>
      </c>
    </row>
    <row r="27" spans="1:14" ht="30" customHeight="1" x14ac:dyDescent="0.3">
      <c r="A27" s="705"/>
      <c r="B27" s="370" t="s">
        <v>7511</v>
      </c>
      <c r="C27" s="320">
        <f>SUM(C22:C26)</f>
        <v>583</v>
      </c>
      <c r="D27" s="321">
        <f>SUM(D25:D26)</f>
        <v>40</v>
      </c>
      <c r="E27" s="320">
        <v>0</v>
      </c>
      <c r="F27" s="322">
        <f t="shared" ref="F27:M27" si="19">SUM(F22:F26)</f>
        <v>290</v>
      </c>
      <c r="G27" s="322">
        <f t="shared" si="19"/>
        <v>200</v>
      </c>
      <c r="H27" s="338">
        <f t="shared" si="19"/>
        <v>-93</v>
      </c>
      <c r="I27" s="320">
        <f t="shared" si="19"/>
        <v>-49.85</v>
      </c>
      <c r="J27" s="322">
        <f t="shared" si="19"/>
        <v>0</v>
      </c>
      <c r="K27" s="322">
        <f t="shared" si="19"/>
        <v>0</v>
      </c>
      <c r="L27" s="323">
        <f t="shared" si="19"/>
        <v>-49.85</v>
      </c>
      <c r="M27" s="338">
        <f t="shared" si="19"/>
        <v>43.149999999999977</v>
      </c>
      <c r="N27" s="122"/>
    </row>
    <row r="28" spans="1:14" ht="30" customHeight="1" x14ac:dyDescent="0.3">
      <c r="A28" s="700" t="s">
        <v>7545</v>
      </c>
      <c r="B28" s="201" t="s">
        <v>7546</v>
      </c>
      <c r="C28" s="609">
        <v>625</v>
      </c>
      <c r="D28" s="610">
        <v>0</v>
      </c>
      <c r="E28" s="611">
        <v>0</v>
      </c>
      <c r="F28" s="609">
        <v>0</v>
      </c>
      <c r="G28" s="609">
        <v>600</v>
      </c>
      <c r="H28" s="171">
        <f>G28+F28-C28</f>
        <v>-25</v>
      </c>
      <c r="I28" s="145">
        <f>SUMIFS('Cashbook ING'!$B:$B, 'Cashbook ING'!$A:$A, "ART_Museumkaart")</f>
        <v>-625</v>
      </c>
      <c r="J28" s="145">
        <f>SUMIFS('Cashbook Wix'!$B$2:$B$7012,'Cashbook Wix'!$A$2:$A$7012,"ART_")</f>
        <v>0</v>
      </c>
      <c r="K28" s="655">
        <v>600</v>
      </c>
      <c r="L28" s="174">
        <f>I28+J28+K28</f>
        <v>-25</v>
      </c>
      <c r="M28" s="171">
        <f t="shared" ref="M28:M29" si="20">L28-H28</f>
        <v>0</v>
      </c>
      <c r="N28" s="122"/>
    </row>
    <row r="29" spans="1:14" ht="30" customHeight="1" x14ac:dyDescent="0.3">
      <c r="A29" s="700"/>
      <c r="B29" s="147" t="s">
        <v>7509</v>
      </c>
      <c r="C29" s="432">
        <v>0</v>
      </c>
      <c r="D29" s="524">
        <v>25</v>
      </c>
      <c r="E29" s="432">
        <v>0</v>
      </c>
      <c r="F29" s="432">
        <f>E29*D29</f>
        <v>0</v>
      </c>
      <c r="G29" s="432">
        <v>0</v>
      </c>
      <c r="H29" s="171">
        <f t="shared" ref="H29" si="21">G29+F29-C29</f>
        <v>0</v>
      </c>
      <c r="I29" s="148">
        <f>SUMIFS('Cashbook ING'!$B:$B, 'Cashbook ING'!$A:$A, "ART_")</f>
        <v>0</v>
      </c>
      <c r="J29" s="148">
        <f>SUMIFS('Cashbook Wix'!$B$2:$B$7012,'Cashbook Wix'!$A$2:$A$7012,"ART_")</f>
        <v>0</v>
      </c>
      <c r="K29" s="148">
        <v>0</v>
      </c>
      <c r="L29" s="175">
        <f t="shared" ref="L29" si="22">I29+J29+K29</f>
        <v>0</v>
      </c>
      <c r="M29" s="171">
        <f t="shared" si="20"/>
        <v>0</v>
      </c>
      <c r="N29" s="122"/>
    </row>
    <row r="30" spans="1:14" ht="30" customHeight="1" x14ac:dyDescent="0.3">
      <c r="A30" s="702"/>
      <c r="B30" s="369" t="s">
        <v>7511</v>
      </c>
      <c r="C30" s="320">
        <f>SUM(C28:C29)</f>
        <v>625</v>
      </c>
      <c r="D30" s="321">
        <f>SUM(D28:D29)</f>
        <v>25</v>
      </c>
      <c r="E30" s="320">
        <v>0</v>
      </c>
      <c r="F30" s="320">
        <f t="shared" ref="F30:L30" si="23">SUM(F28:F29)</f>
        <v>0</v>
      </c>
      <c r="G30" s="320">
        <f t="shared" si="23"/>
        <v>600</v>
      </c>
      <c r="H30" s="327">
        <f t="shared" si="23"/>
        <v>-25</v>
      </c>
      <c r="I30" s="320">
        <f>SUM(I28:I29)</f>
        <v>-625</v>
      </c>
      <c r="J30" s="320">
        <f t="shared" si="23"/>
        <v>0</v>
      </c>
      <c r="K30" s="320">
        <f t="shared" si="23"/>
        <v>600</v>
      </c>
      <c r="L30" s="324">
        <f t="shared" si="23"/>
        <v>-25</v>
      </c>
      <c r="M30" s="327">
        <f>SUM(M28:M29)</f>
        <v>0</v>
      </c>
      <c r="N30" s="122"/>
    </row>
    <row r="31" spans="1:14" ht="30" customHeight="1" x14ac:dyDescent="0.3">
      <c r="A31" s="699" t="s">
        <v>7547</v>
      </c>
      <c r="B31" s="201" t="s">
        <v>7548</v>
      </c>
      <c r="C31" s="198">
        <v>50</v>
      </c>
      <c r="D31" s="146">
        <v>0</v>
      </c>
      <c r="E31" s="145">
        <v>0</v>
      </c>
      <c r="F31" s="198">
        <v>0</v>
      </c>
      <c r="G31" s="198">
        <v>50</v>
      </c>
      <c r="H31" s="171">
        <f>G31+F31-C31</f>
        <v>0</v>
      </c>
      <c r="I31" s="145">
        <f>SUMIFS('Cashbook ING'!$B:$B, 'Cashbook ING'!$A:$A, "ART_Totebag_Totebag")</f>
        <v>-73.64</v>
      </c>
      <c r="J31" s="145">
        <f>SUMIFS('Cashbook Wix'!$B$2:$B$7012,'Cashbook Wix'!$A$2:$A$7012,"ART_")</f>
        <v>0</v>
      </c>
      <c r="K31" s="319">
        <v>0</v>
      </c>
      <c r="L31" s="170">
        <f>J31+K31+I31</f>
        <v>-73.64</v>
      </c>
      <c r="M31" s="171">
        <f>L31-H31</f>
        <v>-73.64</v>
      </c>
    </row>
    <row r="32" spans="1:14" ht="30" customHeight="1" x14ac:dyDescent="0.3">
      <c r="A32" s="700"/>
      <c r="B32" s="202" t="s">
        <v>7549</v>
      </c>
      <c r="C32" s="199">
        <v>65</v>
      </c>
      <c r="D32" s="149">
        <v>0</v>
      </c>
      <c r="E32" s="148">
        <v>0</v>
      </c>
      <c r="F32" s="199">
        <v>0</v>
      </c>
      <c r="G32" s="199">
        <v>40</v>
      </c>
      <c r="H32" s="171">
        <f>G32+F32-C32</f>
        <v>-25</v>
      </c>
      <c r="I32" s="148">
        <f>SUMIFS('Cashbook ING'!$B:$B, 'Cashbook ING'!$A:$A, "ART_")</f>
        <v>0</v>
      </c>
      <c r="J32" s="148">
        <f>SUMIFS('Cashbook Wix'!$B$2:$B$7012,'Cashbook Wix'!$A$2:$A$7012,"ART_")</f>
        <v>0</v>
      </c>
      <c r="K32" s="432">
        <v>0</v>
      </c>
      <c r="L32" s="171">
        <f t="shared" ref="L32:L33" si="24">J32+K32+I32</f>
        <v>0</v>
      </c>
      <c r="M32" s="171">
        <f t="shared" ref="M32:M33" si="25">L32-H32</f>
        <v>25</v>
      </c>
    </row>
    <row r="33" spans="1:14" ht="30" customHeight="1" x14ac:dyDescent="0.3">
      <c r="A33" s="700"/>
      <c r="B33" s="202" t="s">
        <v>7508</v>
      </c>
      <c r="C33" s="199">
        <v>25</v>
      </c>
      <c r="D33" s="149">
        <v>0</v>
      </c>
      <c r="E33" s="148">
        <v>0</v>
      </c>
      <c r="F33" s="199">
        <v>0</v>
      </c>
      <c r="G33" s="199">
        <v>0</v>
      </c>
      <c r="H33" s="171">
        <f>G33+F33-C33</f>
        <v>-25</v>
      </c>
      <c r="I33" s="148">
        <f>SUMIFS('Cashbook ING'!$B:$B, 'Cashbook ING'!$A:$A, "ART_Totebag_Snacks")</f>
        <v>-34.65</v>
      </c>
      <c r="J33" s="148">
        <f>SUMIFS('Cashbook Wix'!$B$2:$B$7012,'Cashbook Wix'!$A$2:$A$7012,"ART_")</f>
        <v>0</v>
      </c>
      <c r="K33" s="23">
        <v>0</v>
      </c>
      <c r="L33" s="171">
        <f t="shared" si="24"/>
        <v>-34.65</v>
      </c>
      <c r="M33" s="171">
        <f t="shared" si="25"/>
        <v>-9.6499999999999986</v>
      </c>
    </row>
    <row r="34" spans="1:14" ht="30" customHeight="1" x14ac:dyDescent="0.3">
      <c r="A34" s="700"/>
      <c r="B34" s="147" t="s">
        <v>7509</v>
      </c>
      <c r="C34" s="148">
        <v>0</v>
      </c>
      <c r="D34" s="149">
        <v>35</v>
      </c>
      <c r="E34" s="148">
        <v>1.5</v>
      </c>
      <c r="F34" s="148">
        <f t="shared" ref="F34:F35" si="26">E34*D34</f>
        <v>52.5</v>
      </c>
      <c r="G34" s="148">
        <v>0</v>
      </c>
      <c r="H34" s="171">
        <f t="shared" ref="H34:H35" si="27">G34+F34-C34</f>
        <v>52.5</v>
      </c>
      <c r="I34" s="148">
        <f>SUMIFS('Cashbook ING'!$B:$B, 'Cashbook ING'!$A:$A, "ART_")</f>
        <v>0</v>
      </c>
      <c r="J34" s="148">
        <f>SUMIFS('Cashbook Wix'!$B$2:$B$7012,'Cashbook Wix'!$A$2:$A$7012,"ART_Totebag_Member")</f>
        <v>23.32</v>
      </c>
      <c r="K34" s="148">
        <v>0</v>
      </c>
      <c r="L34" s="171">
        <f t="shared" ref="L34:L35" si="28">I34+J34+K34</f>
        <v>23.32</v>
      </c>
      <c r="M34" s="171">
        <f>L34-H34</f>
        <v>-29.18</v>
      </c>
    </row>
    <row r="35" spans="1:14" ht="30" customHeight="1" x14ac:dyDescent="0.3">
      <c r="A35" s="700"/>
      <c r="B35" s="147" t="s">
        <v>7510</v>
      </c>
      <c r="C35" s="148">
        <v>0</v>
      </c>
      <c r="D35" s="149">
        <v>5</v>
      </c>
      <c r="E35" s="148">
        <v>3</v>
      </c>
      <c r="F35" s="148">
        <f t="shared" si="26"/>
        <v>15</v>
      </c>
      <c r="G35" s="148">
        <v>0</v>
      </c>
      <c r="H35" s="171">
        <f t="shared" si="27"/>
        <v>15</v>
      </c>
      <c r="I35" s="148">
        <f>SUMIFS('Cashbook ING'!$B:$B, 'Cashbook ING'!$A:$A, "ART_")</f>
        <v>0</v>
      </c>
      <c r="J35" s="148">
        <f>SUMIFS('Cashbook Wix'!$B$2:$B$7012,'Cashbook Wix'!$A$2:$A$7012,"ART_Totebag_NonMember")</f>
        <v>11.990000000000002</v>
      </c>
      <c r="K35" s="148">
        <v>0</v>
      </c>
      <c r="L35" s="171">
        <f t="shared" si="28"/>
        <v>11.990000000000002</v>
      </c>
      <c r="M35" s="171">
        <f>L35-H35</f>
        <v>-3.009999999999998</v>
      </c>
    </row>
    <row r="36" spans="1:14" ht="30" customHeight="1" x14ac:dyDescent="0.3">
      <c r="A36" s="700"/>
      <c r="B36" s="369" t="s">
        <v>7550</v>
      </c>
      <c r="C36" s="320">
        <f>SUM(C31:C35)</f>
        <v>140</v>
      </c>
      <c r="D36" s="321">
        <f>SUM(D34:D35)</f>
        <v>40</v>
      </c>
      <c r="E36" s="320">
        <v>0</v>
      </c>
      <c r="F36" s="322">
        <f t="shared" ref="F36:L36" si="29">SUM(F31:F35)</f>
        <v>67.5</v>
      </c>
      <c r="G36" s="322">
        <f t="shared" si="29"/>
        <v>90</v>
      </c>
      <c r="H36" s="323">
        <f>SUM(H31:H35)</f>
        <v>17.5</v>
      </c>
      <c r="I36" s="320">
        <f>SUM(I31:I35)</f>
        <v>-108.28999999999999</v>
      </c>
      <c r="J36" s="320">
        <f t="shared" si="29"/>
        <v>35.31</v>
      </c>
      <c r="K36" s="320">
        <f t="shared" si="29"/>
        <v>0</v>
      </c>
      <c r="L36" s="323">
        <f t="shared" si="29"/>
        <v>-72.97999999999999</v>
      </c>
      <c r="M36" s="323">
        <f>SUM(M31:M35)</f>
        <v>-90.47999999999999</v>
      </c>
      <c r="N36" s="122"/>
    </row>
    <row r="37" spans="1:14" s="183" customFormat="1" ht="30" customHeight="1" x14ac:dyDescent="0.35">
      <c r="A37" s="208"/>
      <c r="B37" s="415" t="s">
        <v>7443</v>
      </c>
      <c r="C37" s="411">
        <f t="shared" ref="C37:L37" si="30">SUM(C7+C13+C21+C27+C36+C30)</f>
        <v>1888</v>
      </c>
      <c r="D37" s="412">
        <f t="shared" si="30"/>
        <v>223</v>
      </c>
      <c r="E37" s="411">
        <f t="shared" si="30"/>
        <v>0</v>
      </c>
      <c r="F37" s="411">
        <f t="shared" si="30"/>
        <v>753.5</v>
      </c>
      <c r="G37" s="411">
        <f t="shared" si="30"/>
        <v>1155</v>
      </c>
      <c r="H37" s="413">
        <f>SUM(H7+H13+H21+H27+H36+H30)</f>
        <v>20.5</v>
      </c>
      <c r="I37" s="411">
        <f>SUM(I7+I13+I21+I27+I36+I30)</f>
        <v>-1137.6100000000001</v>
      </c>
      <c r="J37" s="411">
        <f t="shared" si="30"/>
        <v>162.82999999999998</v>
      </c>
      <c r="K37" s="411">
        <f t="shared" si="30"/>
        <v>600</v>
      </c>
      <c r="L37" s="411">
        <f t="shared" si="30"/>
        <v>-374.78000000000009</v>
      </c>
      <c r="M37" s="413">
        <f>SUM(M7+M13+M21+M27+M36+M30)</f>
        <v>-395.28000000000009</v>
      </c>
    </row>
    <row r="38" spans="1:14" ht="26" x14ac:dyDescent="0.3">
      <c r="H38" s="8"/>
    </row>
    <row r="41" spans="1:14" ht="26" x14ac:dyDescent="0.3">
      <c r="B41" s="124"/>
    </row>
    <row r="42" spans="1:14" ht="26" x14ac:dyDescent="0.3"/>
  </sheetData>
  <mergeCells count="10">
    <mergeCell ref="A31:A36"/>
    <mergeCell ref="B1:B2"/>
    <mergeCell ref="C1:H1"/>
    <mergeCell ref="A28:A30"/>
    <mergeCell ref="I1:M1"/>
    <mergeCell ref="A1:A2"/>
    <mergeCell ref="A22:A27"/>
    <mergeCell ref="A3:A7"/>
    <mergeCell ref="A8:A13"/>
    <mergeCell ref="A14:A21"/>
  </mergeCells>
  <conditionalFormatting sqref="A1:C1 I1:M1 N1:XFD1048576 A2 H2:H6 L2:M29 A3:G4 I3:I4 K3:K4 M3:XFD4 J3:J21 I7:I27 B11:B21 K13:K19 H14:H20">
    <cfRule type="cellIs" dxfId="77" priority="19" operator="lessThan">
      <formula>0</formula>
    </cfRule>
  </conditionalFormatting>
  <conditionalFormatting sqref="A8:G10">
    <cfRule type="cellIs" dxfId="76" priority="309" operator="lessThan">
      <formula>0</formula>
    </cfRule>
  </conditionalFormatting>
  <conditionalFormatting sqref="A28:G28">
    <cfRule type="cellIs" dxfId="75" priority="5" operator="lessThan">
      <formula>0</formula>
    </cfRule>
  </conditionalFormatting>
  <conditionalFormatting sqref="A22:H27">
    <cfRule type="cellIs" dxfId="74" priority="13" operator="lessThan">
      <formula>0</formula>
    </cfRule>
  </conditionalFormatting>
  <conditionalFormatting sqref="A38:K39 A40:A41 C40:K41 A42:K1048576">
    <cfRule type="cellIs" dxfId="73" priority="369" operator="lessThan">
      <formula>0</formula>
    </cfRule>
  </conditionalFormatting>
  <conditionalFormatting sqref="A37:M37">
    <cfRule type="cellIs" dxfId="72" priority="47" operator="lessThan">
      <formula>0</formula>
    </cfRule>
  </conditionalFormatting>
  <conditionalFormatting sqref="B5:B7">
    <cfRule type="cellIs" dxfId="71" priority="301" operator="lessThan">
      <formula>0</formula>
    </cfRule>
  </conditionalFormatting>
  <conditionalFormatting sqref="B5:G6 B11:H12 B19:G20">
    <cfRule type="cellIs" dxfId="70" priority="304" operator="lessThan">
      <formula>0</formula>
    </cfRule>
  </conditionalFormatting>
  <conditionalFormatting sqref="B28:K29 B30:M30 H31:I35 A31:G36 J31:K36 L31:M1048576">
    <cfRule type="cellIs" dxfId="69" priority="95" operator="lessThan">
      <formula>0</formula>
    </cfRule>
  </conditionalFormatting>
  <conditionalFormatting sqref="C13:C18">
    <cfRule type="cellIs" dxfId="68" priority="257" operator="lessThan">
      <formula>0</formula>
    </cfRule>
  </conditionalFormatting>
  <conditionalFormatting sqref="C7:H7">
    <cfRule type="cellIs" dxfId="67" priority="299" operator="lessThan">
      <formula>0</formula>
    </cfRule>
  </conditionalFormatting>
  <conditionalFormatting sqref="C21:H21">
    <cfRule type="cellIs" dxfId="66" priority="17" operator="lessThan">
      <formula>0</formula>
    </cfRule>
  </conditionalFormatting>
  <conditionalFormatting sqref="D14:G15 A14:A18 D16 F16:G16 D17:G18">
    <cfRule type="cellIs" dxfId="65" priority="366" operator="lessThan">
      <formula>0</formula>
    </cfRule>
  </conditionalFormatting>
  <conditionalFormatting sqref="D13:H13">
    <cfRule type="cellIs" dxfId="64" priority="255" operator="lessThan">
      <formula>0</formula>
    </cfRule>
  </conditionalFormatting>
  <conditionalFormatting sqref="D36:I36">
    <cfRule type="cellIs" dxfId="63" priority="85" operator="lessThan">
      <formula>0</formula>
    </cfRule>
  </conditionalFormatting>
  <conditionalFormatting sqref="F7:H10">
    <cfRule type="cellIs" dxfId="62" priority="298" operator="lessThan">
      <formula>0</formula>
    </cfRule>
  </conditionalFormatting>
  <conditionalFormatting sqref="I5:K6 J12:K12 J20:K20">
    <cfRule type="cellIs" dxfId="61" priority="159" operator="lessThan">
      <formula>0</formula>
    </cfRule>
  </conditionalFormatting>
  <conditionalFormatting sqref="J22:K27">
    <cfRule type="cellIs" dxfId="60" priority="12" operator="lessThan">
      <formula>0</formula>
    </cfRule>
  </conditionalFormatting>
  <conditionalFormatting sqref="K7:K11">
    <cfRule type="cellIs" dxfId="59" priority="45" operator="lessThan">
      <formula>0</formula>
    </cfRule>
  </conditionalFormatting>
  <conditionalFormatting sqref="K21">
    <cfRule type="cellIs" dxfId="58" priority="16" operator="lessThan">
      <formula>0</formula>
    </cfRule>
  </conditionalFormatting>
  <pageMargins left="0.7" right="0.7" top="0.75" bottom="0.75" header="0.3" footer="0.3"/>
  <pageSetup paperSize="9" orientation="portrait" horizontalDpi="0" verticalDpi="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B972"/>
  <sheetViews>
    <sheetView zoomScale="75" zoomScaleNormal="58" zoomScalePageLayoutView="58" workbookViewId="0">
      <pane xSplit="1" ySplit="2" topLeftCell="B3" activePane="bottomRight" state="frozen"/>
      <selection pane="topRight" activeCell="B1" sqref="B1"/>
      <selection pane="bottomLeft" activeCell="A3" sqref="A3"/>
      <selection pane="bottomRight" activeCell="I13" sqref="I13"/>
    </sheetView>
  </sheetViews>
  <sheetFormatPr baseColWidth="10" defaultColWidth="14.5" defaultRowHeight="15" x14ac:dyDescent="0.2"/>
  <cols>
    <col min="1" max="1" width="41.1640625" style="4" customWidth="1"/>
    <col min="2" max="2" width="40.5" style="4" customWidth="1"/>
    <col min="3" max="3" width="25.83203125" style="4" customWidth="1"/>
    <col min="4" max="4" width="24.5" style="4" customWidth="1"/>
    <col min="5" max="12" width="25.83203125" style="4" customWidth="1"/>
    <col min="13" max="13" width="40.33203125" style="4" customWidth="1"/>
    <col min="14" max="14" width="14.5" style="4"/>
    <col min="15" max="15" width="14.5" style="4" customWidth="1"/>
    <col min="16" max="16384" width="14.5" style="4"/>
  </cols>
  <sheetData>
    <row r="1" spans="1:28" ht="32" customHeight="1" x14ac:dyDescent="0.25">
      <c r="A1" s="677" t="s">
        <v>7347</v>
      </c>
      <c r="B1" s="676" t="s">
        <v>348</v>
      </c>
      <c r="C1" s="674" t="s">
        <v>7348</v>
      </c>
      <c r="D1" s="674"/>
      <c r="E1" s="674"/>
      <c r="F1" s="674"/>
      <c r="G1" s="674"/>
      <c r="H1" s="674"/>
      <c r="I1" s="675" t="s">
        <v>7503</v>
      </c>
      <c r="J1" s="675"/>
      <c r="K1" s="675"/>
      <c r="L1" s="675"/>
      <c r="M1" s="675"/>
      <c r="N1" s="6"/>
      <c r="O1" s="6"/>
      <c r="P1" s="6"/>
      <c r="Q1" s="6"/>
      <c r="R1" s="6"/>
      <c r="S1" s="6"/>
      <c r="T1" s="6"/>
      <c r="U1" s="6"/>
      <c r="V1" s="6"/>
      <c r="W1" s="6"/>
      <c r="X1" s="6"/>
      <c r="Y1" s="6"/>
      <c r="Z1" s="6"/>
      <c r="AA1" s="6"/>
      <c r="AB1" s="6"/>
    </row>
    <row r="2" spans="1:28" ht="27" customHeight="1" x14ac:dyDescent="0.25">
      <c r="A2" s="677"/>
      <c r="B2" s="701"/>
      <c r="C2" s="314" t="s">
        <v>7350</v>
      </c>
      <c r="D2" s="315" t="s">
        <v>7530</v>
      </c>
      <c r="E2" s="316" t="s">
        <v>7352</v>
      </c>
      <c r="F2" s="317" t="s">
        <v>7353</v>
      </c>
      <c r="G2" s="318" t="s">
        <v>7458</v>
      </c>
      <c r="H2" s="308" t="s">
        <v>7355</v>
      </c>
      <c r="I2" s="309" t="s">
        <v>7350</v>
      </c>
      <c r="J2" s="310" t="s">
        <v>7353</v>
      </c>
      <c r="K2" s="313" t="s">
        <v>7458</v>
      </c>
      <c r="L2" s="311" t="s">
        <v>7355</v>
      </c>
      <c r="M2" s="312" t="s">
        <v>7459</v>
      </c>
      <c r="N2" s="6"/>
      <c r="O2" s="6"/>
      <c r="P2" s="6"/>
      <c r="Q2" s="6"/>
      <c r="R2" s="6"/>
      <c r="S2" s="6"/>
      <c r="T2" s="6"/>
      <c r="U2" s="6"/>
      <c r="V2" s="6"/>
      <c r="W2" s="6"/>
      <c r="X2" s="6"/>
      <c r="Y2" s="6"/>
      <c r="Z2" s="6"/>
      <c r="AA2" s="6"/>
      <c r="AB2" s="6"/>
    </row>
    <row r="3" spans="1:28" ht="26" x14ac:dyDescent="0.3">
      <c r="A3" s="710" t="s">
        <v>7421</v>
      </c>
      <c r="B3" s="195" t="s">
        <v>7513</v>
      </c>
      <c r="C3" s="166">
        <v>40</v>
      </c>
      <c r="D3" s="146">
        <v>0</v>
      </c>
      <c r="E3" s="145">
        <v>0</v>
      </c>
      <c r="F3" s="166">
        <v>0</v>
      </c>
      <c r="G3" s="166">
        <v>40</v>
      </c>
      <c r="H3" s="195">
        <f>F3+G3-C3</f>
        <v>0</v>
      </c>
      <c r="I3" s="145">
        <f>SUMIFS('Cashbook ING'!$B:$B, 'Cashbook ING'!$A:$A, "AW_CharityWork_Snacks")*1</f>
        <v>-15.27</v>
      </c>
      <c r="J3" s="166">
        <v>0</v>
      </c>
      <c r="K3" s="145">
        <v>0</v>
      </c>
      <c r="L3" s="195">
        <f>J3+K3+I3</f>
        <v>-15.27</v>
      </c>
      <c r="M3" s="196">
        <f t="shared" ref="M3:M26" si="0">L3-H3</f>
        <v>-15.27</v>
      </c>
      <c r="N3" s="122"/>
      <c r="O3" s="6"/>
      <c r="P3" s="6"/>
      <c r="Q3" s="6"/>
      <c r="R3" s="6"/>
      <c r="S3" s="6"/>
      <c r="T3" s="6"/>
      <c r="U3" s="6"/>
      <c r="V3" s="6"/>
      <c r="W3" s="6"/>
      <c r="X3" s="6"/>
      <c r="Y3" s="6"/>
      <c r="Z3" s="6"/>
      <c r="AA3" s="6"/>
      <c r="AB3" s="6"/>
    </row>
    <row r="4" spans="1:28" ht="26" x14ac:dyDescent="0.3">
      <c r="A4" s="712"/>
      <c r="B4" s="395" t="s">
        <v>7388</v>
      </c>
      <c r="C4" s="167">
        <v>10</v>
      </c>
      <c r="D4" s="149">
        <v>0</v>
      </c>
      <c r="E4" s="148">
        <v>0</v>
      </c>
      <c r="F4" s="167">
        <v>0</v>
      </c>
      <c r="G4" s="167">
        <v>0</v>
      </c>
      <c r="H4" s="395">
        <f>F4+G4-C4</f>
        <v>-10</v>
      </c>
      <c r="I4" s="379">
        <f>SUMIFS('Cashbook ING'!$B:$B, 'Cashbook ING'!$A:$A, "AW_")*-1</f>
        <v>0</v>
      </c>
      <c r="J4" s="379">
        <f>SUMIFS('Cashbook ING'!$B:$B, 'Cashbook ING'!$A:$A, "AW_Charity_Donations")</f>
        <v>0</v>
      </c>
      <c r="K4" s="167">
        <v>0</v>
      </c>
      <c r="L4" s="395">
        <f>J4+K4+I4</f>
        <v>0</v>
      </c>
      <c r="M4" s="197">
        <f t="shared" si="0"/>
        <v>10</v>
      </c>
      <c r="N4" s="122"/>
      <c r="O4" s="6"/>
      <c r="P4" s="6"/>
      <c r="Q4" s="6"/>
      <c r="R4" s="6"/>
      <c r="S4" s="6"/>
      <c r="T4" s="6"/>
      <c r="U4" s="6"/>
      <c r="V4" s="6"/>
      <c r="W4" s="6"/>
      <c r="X4" s="6"/>
      <c r="Y4" s="6"/>
      <c r="Z4" s="6"/>
      <c r="AA4" s="6"/>
      <c r="AB4" s="6"/>
    </row>
    <row r="5" spans="1:28" ht="26" x14ac:dyDescent="0.3">
      <c r="A5" s="712"/>
      <c r="B5" s="175" t="s">
        <v>7509</v>
      </c>
      <c r="C5" s="148">
        <v>0</v>
      </c>
      <c r="D5" s="149">
        <v>0</v>
      </c>
      <c r="E5" s="148">
        <v>0</v>
      </c>
      <c r="F5" s="148">
        <f t="shared" ref="F5:F6" si="1">E5*D5</f>
        <v>0</v>
      </c>
      <c r="G5" s="148">
        <v>0</v>
      </c>
      <c r="H5" s="171">
        <f t="shared" ref="H5:H6" si="2">F5+G5-C5</f>
        <v>0</v>
      </c>
      <c r="I5" s="148">
        <f>SUMIFS('Cashbook ING'!$B:$B, 'Cashbook ING'!$A:$A, "AW_")*-1</f>
        <v>0</v>
      </c>
      <c r="J5" s="148">
        <f>SUMIFS('Cashbook Wix'!B2:B7012,'Cashbook Wix'!A2:A7012,"AW_")</f>
        <v>0</v>
      </c>
      <c r="K5" s="148">
        <v>0</v>
      </c>
      <c r="L5" s="395">
        <f>J5+K5+I5</f>
        <v>0</v>
      </c>
      <c r="M5" s="197">
        <f t="shared" si="0"/>
        <v>0</v>
      </c>
      <c r="N5" s="122"/>
      <c r="O5" s="6"/>
      <c r="P5" s="6"/>
      <c r="Q5" s="6"/>
      <c r="R5" s="6"/>
      <c r="S5" s="6"/>
      <c r="T5" s="6"/>
      <c r="U5" s="6"/>
      <c r="V5" s="6"/>
      <c r="W5" s="6"/>
      <c r="X5" s="6"/>
      <c r="Y5" s="6"/>
      <c r="Z5" s="6"/>
      <c r="AA5" s="6"/>
      <c r="AB5" s="6"/>
    </row>
    <row r="6" spans="1:28" ht="26" x14ac:dyDescent="0.3">
      <c r="A6" s="712"/>
      <c r="B6" s="175" t="s">
        <v>7510</v>
      </c>
      <c r="C6" s="148">
        <v>0</v>
      </c>
      <c r="D6" s="149">
        <v>0</v>
      </c>
      <c r="E6" s="148">
        <v>0</v>
      </c>
      <c r="F6" s="148">
        <f t="shared" si="1"/>
        <v>0</v>
      </c>
      <c r="G6" s="148">
        <v>0</v>
      </c>
      <c r="H6" s="171">
        <f t="shared" si="2"/>
        <v>0</v>
      </c>
      <c r="I6" s="148">
        <f>SUMIFS('Cashbook ING'!$B:$B, 'Cashbook ING'!$A:$A, "AW_")*-1</f>
        <v>0</v>
      </c>
      <c r="J6" s="148">
        <f>SUMIFS('Cashbook Wix'!$B$2:$B$7012,'Cashbook Wix'!$A$2:$A$7012,"AW_")</f>
        <v>0</v>
      </c>
      <c r="K6" s="148">
        <v>0</v>
      </c>
      <c r="L6" s="395">
        <f>J6+K6+I6</f>
        <v>0</v>
      </c>
      <c r="M6" s="197">
        <f t="shared" si="0"/>
        <v>0</v>
      </c>
      <c r="N6" s="122"/>
      <c r="O6" s="6"/>
      <c r="P6" s="6"/>
      <c r="Q6" s="6"/>
      <c r="R6" s="6"/>
      <c r="S6" s="6"/>
      <c r="T6" s="6"/>
      <c r="U6" s="6"/>
      <c r="V6" s="6"/>
      <c r="W6" s="6"/>
      <c r="X6" s="6"/>
      <c r="Y6" s="6"/>
      <c r="Z6" s="6"/>
      <c r="AA6" s="6"/>
      <c r="AB6" s="6"/>
    </row>
    <row r="7" spans="1:28" ht="26" x14ac:dyDescent="0.3">
      <c r="A7" s="711"/>
      <c r="B7" s="414" t="s">
        <v>7511</v>
      </c>
      <c r="C7" s="332">
        <f>SUM(C3:C6)</f>
        <v>50</v>
      </c>
      <c r="D7" s="326">
        <f>SUM(D5:D6)</f>
        <v>0</v>
      </c>
      <c r="E7" s="325">
        <f>(E5*D5)+E6*D6</f>
        <v>0</v>
      </c>
      <c r="F7" s="332">
        <f t="shared" ref="F7:K7" si="3">SUM(F3:F6)</f>
        <v>0</v>
      </c>
      <c r="G7" s="325">
        <f t="shared" si="3"/>
        <v>40</v>
      </c>
      <c r="H7" s="414">
        <f>SUM(H3:H6)</f>
        <v>-10</v>
      </c>
      <c r="I7" s="332">
        <f>SUM(I3:I6)</f>
        <v>-15.27</v>
      </c>
      <c r="J7" s="332">
        <f t="shared" si="3"/>
        <v>0</v>
      </c>
      <c r="K7" s="332">
        <f t="shared" si="3"/>
        <v>0</v>
      </c>
      <c r="L7" s="414">
        <f>SUM(L3:L6)</f>
        <v>-15.27</v>
      </c>
      <c r="M7" s="414">
        <f>SUM(M3:M6)</f>
        <v>-5.27</v>
      </c>
      <c r="N7" s="122"/>
      <c r="O7" s="122"/>
      <c r="P7" s="6"/>
      <c r="Q7" s="6"/>
      <c r="R7" s="6"/>
      <c r="S7" s="6"/>
      <c r="T7" s="6"/>
      <c r="U7" s="6"/>
      <c r="V7" s="6"/>
      <c r="W7" s="6"/>
      <c r="X7" s="6"/>
      <c r="Y7" s="6"/>
      <c r="Z7" s="6"/>
      <c r="AA7" s="6"/>
      <c r="AB7" s="6"/>
    </row>
    <row r="8" spans="1:28" ht="26" x14ac:dyDescent="0.3">
      <c r="A8" s="710" t="s">
        <v>7423</v>
      </c>
      <c r="B8" s="175" t="s">
        <v>7551</v>
      </c>
      <c r="C8" s="148">
        <v>100</v>
      </c>
      <c r="D8" s="149">
        <v>0</v>
      </c>
      <c r="E8" s="148">
        <v>0</v>
      </c>
      <c r="F8" s="148">
        <v>0</v>
      </c>
      <c r="G8" s="432">
        <v>80</v>
      </c>
      <c r="H8" s="171">
        <f>F8+G8-C8</f>
        <v>-20</v>
      </c>
      <c r="I8" s="432">
        <f>SUMIFS('Cashbook ING'!$B:$B, 'Cashbook ING'!$A:$A, "AW_AdventCalendar")</f>
        <v>-97</v>
      </c>
      <c r="J8" s="148">
        <v>0</v>
      </c>
      <c r="K8" s="148">
        <v>0</v>
      </c>
      <c r="L8" s="175">
        <f>K8+J8+I8</f>
        <v>-97</v>
      </c>
      <c r="M8" s="197">
        <f>L8-H8</f>
        <v>-77</v>
      </c>
      <c r="N8" s="122"/>
      <c r="O8" s="122"/>
      <c r="P8" s="6"/>
      <c r="Q8" s="6"/>
      <c r="R8" s="6"/>
      <c r="S8" s="6"/>
      <c r="T8" s="6"/>
      <c r="U8" s="6"/>
      <c r="V8" s="6"/>
      <c r="W8" s="6"/>
      <c r="X8" s="6"/>
      <c r="Y8" s="6"/>
      <c r="Z8" s="6"/>
      <c r="AA8" s="6"/>
      <c r="AB8" s="6"/>
    </row>
    <row r="9" spans="1:28" ht="26" x14ac:dyDescent="0.3">
      <c r="A9" s="711"/>
      <c r="B9" s="414" t="s">
        <v>7511</v>
      </c>
      <c r="C9" s="332">
        <f>C8</f>
        <v>100</v>
      </c>
      <c r="D9" s="326">
        <v>0</v>
      </c>
      <c r="E9" s="325">
        <v>0</v>
      </c>
      <c r="F9" s="332">
        <v>0</v>
      </c>
      <c r="G9" s="325">
        <f t="shared" ref="G9:K9" si="4">G8</f>
        <v>80</v>
      </c>
      <c r="H9" s="414">
        <f>H8</f>
        <v>-20</v>
      </c>
      <c r="I9" s="332">
        <f t="shared" si="4"/>
        <v>-97</v>
      </c>
      <c r="J9" s="332">
        <f t="shared" si="4"/>
        <v>0</v>
      </c>
      <c r="K9" s="332">
        <f t="shared" si="4"/>
        <v>0</v>
      </c>
      <c r="L9" s="338">
        <f>L8</f>
        <v>-97</v>
      </c>
      <c r="M9" s="414">
        <f>SUM(M8)</f>
        <v>-77</v>
      </c>
      <c r="N9" s="122"/>
      <c r="O9" s="122"/>
      <c r="P9" s="6"/>
      <c r="Q9" s="6"/>
      <c r="R9" s="6"/>
      <c r="S9" s="6"/>
      <c r="T9" s="6"/>
      <c r="U9" s="6"/>
      <c r="V9" s="6"/>
      <c r="W9" s="6"/>
      <c r="X9" s="6"/>
      <c r="Y9" s="6"/>
      <c r="Z9" s="6"/>
      <c r="AA9" s="6"/>
      <c r="AB9" s="6"/>
    </row>
    <row r="10" spans="1:28" ht="26" x14ac:dyDescent="0.3">
      <c r="A10" s="708" t="s">
        <v>7552</v>
      </c>
      <c r="B10" s="175" t="s">
        <v>7388</v>
      </c>
      <c r="C10" s="432">
        <v>0</v>
      </c>
      <c r="D10" s="149">
        <v>0</v>
      </c>
      <c r="E10" s="148">
        <v>0</v>
      </c>
      <c r="F10" s="148">
        <v>0</v>
      </c>
      <c r="G10" s="148">
        <v>0</v>
      </c>
      <c r="H10" s="171">
        <f>G10+F10-C10</f>
        <v>0</v>
      </c>
      <c r="I10" s="148">
        <f>SUMIFS('Cashbook ING'!$B:$B, 'Cashbook ING'!$A:$A, "AW_")*-1</f>
        <v>0</v>
      </c>
      <c r="J10" s="148">
        <v>0</v>
      </c>
      <c r="K10" s="148">
        <v>0</v>
      </c>
      <c r="L10" s="395">
        <f>K10+J10+I10</f>
        <v>0</v>
      </c>
      <c r="M10" s="197">
        <f>L10-H10</f>
        <v>0</v>
      </c>
      <c r="N10" s="122"/>
      <c r="O10" s="122"/>
      <c r="P10" s="6"/>
      <c r="Q10" s="6"/>
      <c r="R10" s="6"/>
      <c r="S10" s="6"/>
      <c r="T10" s="6"/>
      <c r="U10" s="6"/>
      <c r="V10" s="6"/>
      <c r="W10" s="6"/>
      <c r="X10" s="6"/>
      <c r="Y10" s="6"/>
      <c r="Z10" s="6"/>
      <c r="AA10" s="6"/>
      <c r="AB10" s="6"/>
    </row>
    <row r="11" spans="1:28" ht="26" x14ac:dyDescent="0.3">
      <c r="A11" s="709"/>
      <c r="B11" s="471" t="s">
        <v>7511</v>
      </c>
      <c r="C11" s="322">
        <f>SUM(C10)</f>
        <v>0</v>
      </c>
      <c r="D11" s="380">
        <f t="shared" ref="D11:F11" si="5">SUM(D10)</f>
        <v>0</v>
      </c>
      <c r="E11" s="322">
        <f t="shared" si="5"/>
        <v>0</v>
      </c>
      <c r="F11" s="322">
        <f t="shared" si="5"/>
        <v>0</v>
      </c>
      <c r="G11" s="322">
        <f>SUM(G10)</f>
        <v>0</v>
      </c>
      <c r="H11" s="323">
        <f>SUM(H10)</f>
        <v>0</v>
      </c>
      <c r="I11" s="322">
        <f t="shared" ref="I11" si="6">SUM(I10)</f>
        <v>0</v>
      </c>
      <c r="J11" s="322">
        <f t="shared" ref="J11" si="7">SUM(J10)</f>
        <v>0</v>
      </c>
      <c r="K11" s="322">
        <f>SUM(K10)</f>
        <v>0</v>
      </c>
      <c r="L11" s="323">
        <f t="shared" ref="L11" si="8">SUM(L10)</f>
        <v>0</v>
      </c>
      <c r="M11" s="323">
        <f>SUM(M10)</f>
        <v>0</v>
      </c>
      <c r="N11" s="122"/>
      <c r="O11" s="122"/>
      <c r="P11" s="6"/>
      <c r="Q11" s="6"/>
      <c r="R11" s="6"/>
      <c r="S11" s="6"/>
      <c r="T11" s="6"/>
      <c r="U11" s="6"/>
      <c r="V11" s="6"/>
      <c r="W11" s="6"/>
      <c r="X11" s="6"/>
      <c r="Y11" s="6"/>
      <c r="Z11" s="6"/>
      <c r="AA11" s="6"/>
      <c r="AB11" s="6"/>
    </row>
    <row r="12" spans="1:28" ht="26" x14ac:dyDescent="0.3">
      <c r="A12" s="710" t="s">
        <v>7553</v>
      </c>
      <c r="B12" s="195" t="s">
        <v>7554</v>
      </c>
      <c r="C12" s="145">
        <v>25</v>
      </c>
      <c r="D12" s="146">
        <v>0</v>
      </c>
      <c r="E12" s="145">
        <v>0</v>
      </c>
      <c r="F12" s="145">
        <f t="shared" ref="F12" si="9">E12*D12</f>
        <v>0</v>
      </c>
      <c r="G12" s="145">
        <v>25</v>
      </c>
      <c r="H12" s="170">
        <f t="shared" ref="H12:H24" si="10">F12+G12-C12</f>
        <v>0</v>
      </c>
      <c r="I12" s="145">
        <f>SUMIFS('Cashbook ING'!$B:$B, 'Cashbook ING'!$A:$A, "AW_")*-1</f>
        <v>0</v>
      </c>
      <c r="J12" s="145">
        <v>0</v>
      </c>
      <c r="K12" s="145">
        <v>0</v>
      </c>
      <c r="L12" s="195">
        <f>J12+K12+I12</f>
        <v>0</v>
      </c>
      <c r="M12" s="580">
        <f t="shared" si="0"/>
        <v>0</v>
      </c>
      <c r="N12" s="122"/>
      <c r="O12" s="6"/>
      <c r="P12" s="6"/>
      <c r="Q12" s="6"/>
      <c r="R12" s="6"/>
      <c r="S12" s="6"/>
      <c r="T12" s="6"/>
      <c r="U12" s="6"/>
      <c r="V12" s="6"/>
      <c r="W12" s="6"/>
      <c r="X12" s="6"/>
      <c r="Y12" s="6"/>
      <c r="Z12" s="6"/>
      <c r="AA12" s="6"/>
      <c r="AB12" s="6"/>
    </row>
    <row r="13" spans="1:28" ht="26" x14ac:dyDescent="0.3">
      <c r="A13" s="712"/>
      <c r="B13" s="395" t="s">
        <v>7513</v>
      </c>
      <c r="C13" s="148">
        <v>25</v>
      </c>
      <c r="D13" s="149">
        <f>SUM(D12)</f>
        <v>0</v>
      </c>
      <c r="E13" s="148">
        <v>0</v>
      </c>
      <c r="F13" s="148">
        <v>0</v>
      </c>
      <c r="G13" s="148">
        <v>0</v>
      </c>
      <c r="H13" s="171">
        <f t="shared" si="10"/>
        <v>-25</v>
      </c>
      <c r="I13" s="379">
        <f>SUMIFS('Cashbook ING'!$B:$B, 'Cashbook ING'!$A:$A, "AW_EarthCleanup")</f>
        <v>-18.329999999999998</v>
      </c>
      <c r="J13" s="148">
        <v>0</v>
      </c>
      <c r="K13" s="148">
        <v>0</v>
      </c>
      <c r="L13" s="395">
        <f>J13+K13+I13</f>
        <v>-18.329999999999998</v>
      </c>
      <c r="M13" s="581">
        <f t="shared" si="0"/>
        <v>6.6700000000000017</v>
      </c>
      <c r="N13" s="122"/>
      <c r="O13" s="6"/>
      <c r="P13" s="6"/>
      <c r="Q13" s="6"/>
      <c r="R13" s="6"/>
      <c r="S13" s="6"/>
      <c r="T13" s="6"/>
      <c r="U13" s="6"/>
      <c r="V13" s="6"/>
      <c r="W13" s="6"/>
      <c r="X13" s="6"/>
      <c r="Y13" s="6"/>
      <c r="Z13" s="6"/>
      <c r="AA13" s="6"/>
      <c r="AB13" s="6"/>
    </row>
    <row r="14" spans="1:28" ht="26" x14ac:dyDescent="0.3">
      <c r="A14" s="711"/>
      <c r="B14" s="534" t="s">
        <v>7511</v>
      </c>
      <c r="C14" s="535">
        <f>SUM(C12:C13)</f>
        <v>50</v>
      </c>
      <c r="D14" s="536">
        <f>SUM(D12,D13)</f>
        <v>0</v>
      </c>
      <c r="E14" s="535">
        <f t="shared" ref="E14:L14" si="11">SUM(E12:E13)</f>
        <v>0</v>
      </c>
      <c r="F14" s="535">
        <f t="shared" si="11"/>
        <v>0</v>
      </c>
      <c r="G14" s="535">
        <f t="shared" si="11"/>
        <v>25</v>
      </c>
      <c r="H14" s="338">
        <f>SUM(H12:H13)</f>
        <v>-25</v>
      </c>
      <c r="I14" s="535">
        <f>SUM(I12:I13)</f>
        <v>-18.329999999999998</v>
      </c>
      <c r="J14" s="535">
        <f t="shared" si="11"/>
        <v>0</v>
      </c>
      <c r="K14" s="535">
        <f t="shared" si="11"/>
        <v>0</v>
      </c>
      <c r="L14" s="534">
        <f t="shared" si="11"/>
        <v>-18.329999999999998</v>
      </c>
      <c r="M14" s="582">
        <f>SUM(M12:M13)</f>
        <v>6.6700000000000017</v>
      </c>
      <c r="N14" s="122"/>
      <c r="O14" s="6"/>
      <c r="P14" s="6"/>
      <c r="Q14" s="6"/>
      <c r="R14" s="6"/>
      <c r="S14" s="6"/>
      <c r="T14" s="6"/>
      <c r="U14" s="6"/>
      <c r="V14" s="6"/>
      <c r="W14" s="6"/>
      <c r="X14" s="6"/>
      <c r="Y14" s="6"/>
      <c r="Z14" s="6"/>
      <c r="AA14" s="6"/>
      <c r="AB14" s="6"/>
    </row>
    <row r="15" spans="1:28" ht="26" x14ac:dyDescent="0.3">
      <c r="A15" s="714" t="s">
        <v>7555</v>
      </c>
      <c r="B15" s="395" t="s">
        <v>7388</v>
      </c>
      <c r="C15" s="148">
        <v>0</v>
      </c>
      <c r="D15" s="149">
        <v>0</v>
      </c>
      <c r="E15" s="148">
        <v>0</v>
      </c>
      <c r="F15" s="148">
        <v>0</v>
      </c>
      <c r="G15" s="148">
        <v>0</v>
      </c>
      <c r="H15" s="171">
        <f>G15+F15-C15</f>
        <v>0</v>
      </c>
      <c r="I15" s="148">
        <f>SUMIFS('Cashbook ING'!$B:$B, 'Cashbook ING'!$A:$A, "AW_")*-1</f>
        <v>0</v>
      </c>
      <c r="J15" s="148">
        <f>SUMIFS('Cashbook Wix'!B2:B7012,'Cashbook Wix'!A2:A7012,"AW_")</f>
        <v>0</v>
      </c>
      <c r="K15" s="148">
        <v>0</v>
      </c>
      <c r="L15" s="395">
        <f>I15+J15+K15</f>
        <v>0</v>
      </c>
      <c r="M15" s="197">
        <f>L15-H15</f>
        <v>0</v>
      </c>
      <c r="N15" s="122"/>
      <c r="O15" s="6"/>
      <c r="P15" s="6"/>
      <c r="Q15" s="6"/>
      <c r="R15" s="6"/>
      <c r="S15" s="6"/>
      <c r="T15" s="6"/>
      <c r="U15" s="6"/>
      <c r="V15" s="6"/>
      <c r="W15" s="6"/>
      <c r="X15" s="6"/>
      <c r="Y15" s="6"/>
      <c r="Z15" s="6"/>
      <c r="AA15" s="6"/>
      <c r="AB15" s="6"/>
    </row>
    <row r="16" spans="1:28" ht="26" x14ac:dyDescent="0.3">
      <c r="A16" s="708"/>
      <c r="B16" s="395" t="s">
        <v>7538</v>
      </c>
      <c r="C16" s="148">
        <v>0</v>
      </c>
      <c r="D16" s="149">
        <v>0</v>
      </c>
      <c r="E16" s="148">
        <v>0</v>
      </c>
      <c r="F16" s="148">
        <v>0</v>
      </c>
      <c r="G16" s="148">
        <v>0</v>
      </c>
      <c r="H16" s="171">
        <f>G16+F16-C16</f>
        <v>0</v>
      </c>
      <c r="I16" s="148">
        <f>SUMIFS('Cashbook ING'!$B:$B, 'Cashbook ING'!$A:$A, "AW_")*-1</f>
        <v>0</v>
      </c>
      <c r="J16" s="148">
        <f>SUMIFS('Cashbook Wix'!B2:B7012,'Cashbook Wix'!A2:A7012,"AW_")</f>
        <v>0</v>
      </c>
      <c r="K16" s="148">
        <v>0</v>
      </c>
      <c r="L16" s="395">
        <f>I16+J16+K16</f>
        <v>0</v>
      </c>
      <c r="M16" s="197">
        <f>L16-H16</f>
        <v>0</v>
      </c>
      <c r="N16" s="122"/>
      <c r="O16" s="6"/>
      <c r="P16" s="6"/>
      <c r="Q16" s="6"/>
      <c r="R16" s="6"/>
      <c r="S16" s="6"/>
      <c r="T16" s="6"/>
      <c r="U16" s="6"/>
      <c r="V16" s="6"/>
      <c r="W16" s="6"/>
      <c r="X16" s="6"/>
      <c r="Y16" s="6"/>
      <c r="Z16" s="6"/>
      <c r="AA16" s="6"/>
      <c r="AB16" s="6"/>
    </row>
    <row r="17" spans="1:28" ht="26" x14ac:dyDescent="0.3">
      <c r="A17" s="709"/>
      <c r="B17" s="414" t="s">
        <v>7511</v>
      </c>
      <c r="C17" s="325">
        <f t="shared" ref="C17:G17" si="12">SUM(C15:C16)</f>
        <v>0</v>
      </c>
      <c r="D17" s="326">
        <f t="shared" si="12"/>
        <v>0</v>
      </c>
      <c r="E17" s="325">
        <f t="shared" si="12"/>
        <v>0</v>
      </c>
      <c r="F17" s="325">
        <f t="shared" si="12"/>
        <v>0</v>
      </c>
      <c r="G17" s="325">
        <f t="shared" si="12"/>
        <v>0</v>
      </c>
      <c r="H17" s="338">
        <f t="shared" ref="H17:M17" si="13">SUM(H15:H16)</f>
        <v>0</v>
      </c>
      <c r="I17" s="325">
        <f t="shared" si="13"/>
        <v>0</v>
      </c>
      <c r="J17" s="325">
        <f t="shared" si="13"/>
        <v>0</v>
      </c>
      <c r="K17" s="325">
        <f t="shared" si="13"/>
        <v>0</v>
      </c>
      <c r="L17" s="414">
        <f t="shared" si="13"/>
        <v>0</v>
      </c>
      <c r="M17" s="533">
        <f t="shared" si="13"/>
        <v>0</v>
      </c>
      <c r="N17" s="122"/>
      <c r="O17" s="6"/>
      <c r="P17" s="6"/>
      <c r="Q17" s="6"/>
      <c r="R17" s="6"/>
      <c r="S17" s="6"/>
      <c r="T17" s="6"/>
      <c r="U17" s="6"/>
      <c r="V17" s="6"/>
      <c r="W17" s="6"/>
      <c r="X17" s="6"/>
      <c r="Y17" s="6"/>
      <c r="Z17" s="6"/>
      <c r="AA17" s="6"/>
      <c r="AB17" s="6"/>
    </row>
    <row r="18" spans="1:28" ht="26" x14ac:dyDescent="0.3">
      <c r="A18" s="710" t="s">
        <v>7556</v>
      </c>
      <c r="B18" s="195" t="s">
        <v>7513</v>
      </c>
      <c r="C18" s="145">
        <v>30</v>
      </c>
      <c r="D18" s="146">
        <v>0</v>
      </c>
      <c r="E18" s="145">
        <v>0</v>
      </c>
      <c r="F18" s="145">
        <v>0</v>
      </c>
      <c r="G18" s="145">
        <v>30</v>
      </c>
      <c r="H18" s="170">
        <f>F18+G18-C18</f>
        <v>0</v>
      </c>
      <c r="I18" s="145">
        <f>SUMIFS('Cashbook ING'!$B:$B, 'Cashbook ING'!$A:$A, "AW_")*-1</f>
        <v>0</v>
      </c>
      <c r="J18" s="145">
        <f>SUMIFS('Cashbook Wix'!B2:B7012,'Cashbook Wix'!A2:A7012,"AW_")</f>
        <v>0</v>
      </c>
      <c r="K18" s="145">
        <v>0</v>
      </c>
      <c r="L18" s="195">
        <f>I18+J18+K18</f>
        <v>0</v>
      </c>
      <c r="M18" s="196">
        <f>L18-H18</f>
        <v>0</v>
      </c>
      <c r="N18" s="122"/>
      <c r="O18" s="6"/>
      <c r="P18" s="6"/>
      <c r="Q18" s="6"/>
      <c r="R18" s="6"/>
      <c r="S18" s="6"/>
      <c r="T18" s="6"/>
      <c r="U18" s="6"/>
      <c r="V18" s="6"/>
      <c r="W18" s="6"/>
      <c r="X18" s="6"/>
      <c r="Y18" s="6"/>
      <c r="Z18" s="6"/>
      <c r="AA18" s="6"/>
      <c r="AB18" s="6"/>
    </row>
    <row r="19" spans="1:28" ht="26" x14ac:dyDescent="0.3">
      <c r="A19" s="711"/>
      <c r="B19" s="414" t="s">
        <v>7511</v>
      </c>
      <c r="C19" s="325">
        <f t="shared" ref="C19:G19" si="14">SUM(C18)</f>
        <v>30</v>
      </c>
      <c r="D19" s="326">
        <f t="shared" si="14"/>
        <v>0</v>
      </c>
      <c r="E19" s="537">
        <f t="shared" si="14"/>
        <v>0</v>
      </c>
      <c r="F19" s="537">
        <f t="shared" si="14"/>
        <v>0</v>
      </c>
      <c r="G19" s="537">
        <f t="shared" si="14"/>
        <v>30</v>
      </c>
      <c r="H19" s="579">
        <f>SUM(H18)</f>
        <v>0</v>
      </c>
      <c r="I19" s="325">
        <f>SUM(I18)</f>
        <v>0</v>
      </c>
      <c r="J19" s="325">
        <f t="shared" ref="J19:K19" si="15">SUM(J18)</f>
        <v>0</v>
      </c>
      <c r="K19" s="325">
        <f t="shared" si="15"/>
        <v>0</v>
      </c>
      <c r="L19" s="414">
        <f>SUM(L18)</f>
        <v>0</v>
      </c>
      <c r="M19" s="533">
        <f>SUM(M18)</f>
        <v>0</v>
      </c>
      <c r="N19" s="122"/>
      <c r="O19" s="6"/>
      <c r="P19" s="6"/>
      <c r="Q19" s="6"/>
      <c r="R19" s="6"/>
      <c r="S19" s="6"/>
      <c r="T19" s="6"/>
      <c r="U19" s="6"/>
      <c r="V19" s="6"/>
      <c r="W19" s="6"/>
      <c r="X19" s="6"/>
      <c r="Y19" s="6"/>
      <c r="Z19" s="6"/>
      <c r="AA19" s="6"/>
      <c r="AB19" s="6"/>
    </row>
    <row r="20" spans="1:28" ht="26" x14ac:dyDescent="0.3">
      <c r="A20" s="712" t="s">
        <v>7557</v>
      </c>
      <c r="B20" s="612" t="s">
        <v>7558</v>
      </c>
      <c r="C20" s="432">
        <v>1875</v>
      </c>
      <c r="D20" s="524">
        <v>0</v>
      </c>
      <c r="E20" s="432">
        <v>0</v>
      </c>
      <c r="F20" s="432">
        <v>0</v>
      </c>
      <c r="G20" s="432">
        <v>600</v>
      </c>
      <c r="H20" s="613">
        <f>G20+F20-C20</f>
        <v>-1275</v>
      </c>
      <c r="I20" s="148">
        <f>SUMIFS('Cashbook ING'!$B:$B, 'Cashbook ING'!$A:$A, "ART_Museumkaart")</f>
        <v>-625</v>
      </c>
      <c r="J20" s="148">
        <f>SUMIFS('Cashbook Wix'!B2:B7012,'Cashbook Wix'!A2:A7012,"AW_")</f>
        <v>0</v>
      </c>
      <c r="K20" s="148">
        <v>600</v>
      </c>
      <c r="L20" s="395">
        <f>I20+J20+K20</f>
        <v>-25</v>
      </c>
      <c r="M20" s="197">
        <f>L20-H20</f>
        <v>1250</v>
      </c>
      <c r="N20" s="122"/>
      <c r="O20" s="6"/>
      <c r="P20" s="6"/>
      <c r="Q20" s="6"/>
      <c r="R20" s="6"/>
      <c r="S20" s="6"/>
      <c r="T20" s="6"/>
      <c r="U20" s="6"/>
      <c r="V20" s="6"/>
      <c r="W20" s="6"/>
      <c r="X20" s="6"/>
      <c r="Y20" s="6"/>
      <c r="Z20" s="6"/>
      <c r="AA20" s="6"/>
      <c r="AB20" s="6"/>
    </row>
    <row r="21" spans="1:28" ht="26" x14ac:dyDescent="0.3">
      <c r="A21" s="712"/>
      <c r="B21" s="612" t="s">
        <v>7509</v>
      </c>
      <c r="C21" s="432">
        <v>0</v>
      </c>
      <c r="D21" s="524">
        <v>25</v>
      </c>
      <c r="E21" s="432">
        <v>50</v>
      </c>
      <c r="F21" s="432">
        <f>E21*D21</f>
        <v>1250</v>
      </c>
      <c r="G21" s="432">
        <v>0</v>
      </c>
      <c r="H21" s="613">
        <f t="shared" ref="H21" si="16">G21+F21-C21</f>
        <v>1250</v>
      </c>
      <c r="I21" s="148">
        <f>SUMIFS('Cashbook ING'!$B:$B, 'Cashbook ING'!$A:$A, "AW_")*-1</f>
        <v>0</v>
      </c>
      <c r="J21" s="148">
        <f>SUMIFS('Cashbook Wix'!B2:B7012,'Cashbook Wix'!A2:A7012,"AW_")</f>
        <v>0</v>
      </c>
      <c r="K21" s="148">
        <v>0</v>
      </c>
      <c r="L21" s="395">
        <f t="shared" ref="L21" si="17">I21+J21+K21</f>
        <v>0</v>
      </c>
      <c r="M21" s="197">
        <f t="shared" ref="M21" si="18">L21-H21</f>
        <v>-1250</v>
      </c>
      <c r="N21" s="122"/>
      <c r="O21" s="6"/>
      <c r="P21" s="6"/>
      <c r="Q21" s="6"/>
      <c r="R21" s="6"/>
      <c r="S21" s="6"/>
      <c r="T21" s="6"/>
      <c r="U21" s="6"/>
      <c r="V21" s="6"/>
      <c r="W21" s="6"/>
      <c r="X21" s="6"/>
      <c r="Y21" s="6"/>
      <c r="Z21" s="6"/>
      <c r="AA21" s="6"/>
      <c r="AB21" s="6"/>
    </row>
    <row r="22" spans="1:28" ht="26" x14ac:dyDescent="0.3">
      <c r="A22" s="711"/>
      <c r="B22" s="414" t="s">
        <v>7511</v>
      </c>
      <c r="C22" s="325">
        <f t="shared" ref="C22:J22" si="19">SUM(C20:C21)</f>
        <v>1875</v>
      </c>
      <c r="D22" s="326">
        <f t="shared" si="19"/>
        <v>25</v>
      </c>
      <c r="E22" s="325">
        <v>0</v>
      </c>
      <c r="F22" s="325">
        <f t="shared" si="19"/>
        <v>1250</v>
      </c>
      <c r="G22" s="325">
        <f t="shared" si="19"/>
        <v>600</v>
      </c>
      <c r="H22" s="338">
        <f>SUM(H20:H21)</f>
        <v>-25</v>
      </c>
      <c r="I22" s="325">
        <f t="shared" si="19"/>
        <v>-625</v>
      </c>
      <c r="J22" s="325">
        <f t="shared" si="19"/>
        <v>0</v>
      </c>
      <c r="K22" s="325">
        <f>SUM(K20:K21)</f>
        <v>600</v>
      </c>
      <c r="L22" s="414">
        <f>SUM(L20:L21)</f>
        <v>-25</v>
      </c>
      <c r="M22" s="533">
        <f>SUM(M20:M21)</f>
        <v>0</v>
      </c>
      <c r="N22" s="122"/>
      <c r="O22" s="6"/>
      <c r="P22" s="6"/>
      <c r="Q22" s="6"/>
      <c r="R22" s="6"/>
      <c r="S22" s="6"/>
      <c r="T22" s="6"/>
      <c r="U22" s="6"/>
      <c r="V22" s="6"/>
      <c r="W22" s="6"/>
      <c r="X22" s="6"/>
      <c r="Y22" s="6"/>
      <c r="Z22" s="6"/>
      <c r="AA22" s="6"/>
      <c r="AB22" s="6"/>
    </row>
    <row r="23" spans="1:28" ht="26" x14ac:dyDescent="0.3">
      <c r="A23" s="712" t="s">
        <v>7559</v>
      </c>
      <c r="B23" s="395" t="s">
        <v>7560</v>
      </c>
      <c r="C23" s="148">
        <v>50</v>
      </c>
      <c r="D23" s="149">
        <v>0</v>
      </c>
      <c r="E23" s="148">
        <v>0</v>
      </c>
      <c r="F23" s="148">
        <v>0</v>
      </c>
      <c r="G23" s="148">
        <v>0</v>
      </c>
      <c r="H23" s="395">
        <f t="shared" si="10"/>
        <v>-50</v>
      </c>
      <c r="I23" s="148">
        <f>SUMIFS('Cashbook ING'!$B:$B, 'Cashbook ING'!$A:$A, "AW_")*-1</f>
        <v>0</v>
      </c>
      <c r="J23" s="148">
        <f>SUMIFS('Cashbook Wix'!B2:B7012,'Cashbook Wix'!A2:A7012,"AW_")</f>
        <v>0</v>
      </c>
      <c r="K23" s="148">
        <v>0</v>
      </c>
      <c r="L23" s="395">
        <f t="shared" ref="L23:L27" si="20">J23+K23+I23</f>
        <v>0</v>
      </c>
      <c r="M23" s="197">
        <f t="shared" si="0"/>
        <v>50</v>
      </c>
      <c r="N23" s="122"/>
      <c r="O23" s="6"/>
      <c r="P23" s="6"/>
      <c r="Q23" s="6"/>
      <c r="R23" s="6"/>
      <c r="S23" s="6"/>
      <c r="T23" s="6"/>
      <c r="U23" s="6"/>
      <c r="V23" s="6"/>
      <c r="W23" s="6"/>
      <c r="X23" s="6"/>
      <c r="Y23" s="6"/>
      <c r="Z23" s="6"/>
      <c r="AA23" s="6"/>
      <c r="AB23" s="6"/>
    </row>
    <row r="24" spans="1:28" ht="26" x14ac:dyDescent="0.3">
      <c r="A24" s="712"/>
      <c r="B24" s="395" t="s">
        <v>7561</v>
      </c>
      <c r="C24" s="167">
        <v>0</v>
      </c>
      <c r="D24" s="149">
        <v>0</v>
      </c>
      <c r="E24" s="148">
        <v>0</v>
      </c>
      <c r="F24" s="167">
        <v>0</v>
      </c>
      <c r="G24" s="199">
        <v>0</v>
      </c>
      <c r="H24" s="395">
        <f t="shared" si="10"/>
        <v>0</v>
      </c>
      <c r="I24" s="167">
        <f>SUMIFS('Cashbook ING'!$B:$B, 'Cashbook ING'!$A:$A, "AW_")</f>
        <v>0</v>
      </c>
      <c r="J24" s="167">
        <f>SUMIFS('Cashbook Wix'!B2:B7012,'Cashbook Wix'!A2:A7012,"AW_")</f>
        <v>0</v>
      </c>
      <c r="K24" s="199">
        <v>0</v>
      </c>
      <c r="L24" s="395">
        <f t="shared" si="20"/>
        <v>0</v>
      </c>
      <c r="M24" s="197">
        <f t="shared" si="0"/>
        <v>0</v>
      </c>
      <c r="N24" s="122"/>
      <c r="O24" s="6"/>
      <c r="P24" s="6"/>
      <c r="Q24" s="6"/>
      <c r="R24" s="6"/>
      <c r="S24" s="6"/>
      <c r="T24" s="6"/>
      <c r="U24" s="6"/>
      <c r="V24" s="6"/>
      <c r="W24" s="6"/>
      <c r="X24" s="6"/>
      <c r="Y24" s="6"/>
      <c r="Z24" s="6"/>
      <c r="AA24" s="6"/>
      <c r="AB24" s="6"/>
    </row>
    <row r="25" spans="1:28" ht="26" x14ac:dyDescent="0.3">
      <c r="A25" s="712"/>
      <c r="B25" s="175" t="s">
        <v>7551</v>
      </c>
      <c r="C25" s="432">
        <v>50</v>
      </c>
      <c r="D25" s="149">
        <v>0</v>
      </c>
      <c r="E25" s="148">
        <v>0</v>
      </c>
      <c r="F25" s="148">
        <f t="shared" ref="F25" si="21">E25*D25</f>
        <v>0</v>
      </c>
      <c r="G25" s="148">
        <v>30</v>
      </c>
      <c r="H25" s="171">
        <f>F25+G25-C25</f>
        <v>-20</v>
      </c>
      <c r="I25" s="148">
        <f>SUMIFS('Cashbook ING'!$B:$B, 'Cashbook ING'!$A:$A, "AW_SpeakerEvent_Snacks")</f>
        <v>-29.56</v>
      </c>
      <c r="J25" s="148">
        <f>SUMIFS('Cashbook Wix'!B2:B7012,'Cashbook Wix'!A2:A7012,"AW_")</f>
        <v>0</v>
      </c>
      <c r="K25" s="148">
        <v>0</v>
      </c>
      <c r="L25" s="395">
        <f t="shared" si="20"/>
        <v>-29.56</v>
      </c>
      <c r="M25" s="197">
        <f t="shared" si="0"/>
        <v>-9.5599999999999987</v>
      </c>
      <c r="N25" s="122"/>
      <c r="O25" s="6"/>
      <c r="P25" s="6"/>
      <c r="Q25" s="6"/>
      <c r="R25" s="6"/>
      <c r="S25" s="6"/>
      <c r="T25" s="6"/>
      <c r="U25" s="6"/>
      <c r="V25" s="6"/>
      <c r="W25" s="6"/>
      <c r="X25" s="6"/>
      <c r="Y25" s="6"/>
      <c r="Z25" s="6"/>
      <c r="AA25" s="6"/>
      <c r="AB25" s="6"/>
    </row>
    <row r="26" spans="1:28" ht="26" x14ac:dyDescent="0.3">
      <c r="A26" s="712"/>
      <c r="B26" s="175" t="s">
        <v>7509</v>
      </c>
      <c r="C26" s="148">
        <v>0</v>
      </c>
      <c r="D26" s="149">
        <v>45</v>
      </c>
      <c r="E26" s="148">
        <v>0</v>
      </c>
      <c r="F26" s="148">
        <f t="shared" ref="F26" si="22">E26*D26</f>
        <v>0</v>
      </c>
      <c r="G26" s="148">
        <v>0</v>
      </c>
      <c r="H26" s="171">
        <f t="shared" ref="H26" si="23">F26+G26-C26</f>
        <v>0</v>
      </c>
      <c r="I26" s="148">
        <v>0</v>
      </c>
      <c r="J26" s="148">
        <f>SUMIFS('Cashbook Wix'!B2:B7012,'Cashbook Wix'!A2:A7012,"AW_")</f>
        <v>0</v>
      </c>
      <c r="K26" s="148">
        <v>0</v>
      </c>
      <c r="L26" s="395">
        <f t="shared" si="20"/>
        <v>0</v>
      </c>
      <c r="M26" s="197">
        <f t="shared" si="0"/>
        <v>0</v>
      </c>
      <c r="N26" s="122"/>
      <c r="O26" s="6"/>
      <c r="P26" s="6"/>
      <c r="Q26" s="6"/>
      <c r="R26" s="6"/>
      <c r="S26" s="6"/>
      <c r="T26" s="6"/>
      <c r="U26" s="6"/>
      <c r="V26" s="6"/>
      <c r="W26" s="6"/>
      <c r="X26" s="6"/>
      <c r="Y26" s="6"/>
      <c r="Z26" s="6"/>
      <c r="AA26" s="6"/>
      <c r="AB26" s="6"/>
    </row>
    <row r="27" spans="1:28" ht="26" x14ac:dyDescent="0.3">
      <c r="A27" s="712"/>
      <c r="B27" s="175" t="s">
        <v>7510</v>
      </c>
      <c r="C27" s="148">
        <v>0</v>
      </c>
      <c r="D27" s="149">
        <v>5</v>
      </c>
      <c r="E27" s="148">
        <v>0</v>
      </c>
      <c r="F27" s="148">
        <f>E27*D27</f>
        <v>0</v>
      </c>
      <c r="G27" s="148">
        <v>0</v>
      </c>
      <c r="H27" s="171">
        <f>F27+G27-C27</f>
        <v>0</v>
      </c>
      <c r="I27" s="148">
        <v>0</v>
      </c>
      <c r="J27" s="148">
        <f>SUMIFS('Cashbook Wix'!B2:B7012,'Cashbook Wix'!A2:A7012,"AW_")</f>
        <v>0</v>
      </c>
      <c r="K27" s="148">
        <v>0</v>
      </c>
      <c r="L27" s="395">
        <f t="shared" si="20"/>
        <v>0</v>
      </c>
      <c r="M27" s="197">
        <f>L27-H27</f>
        <v>0</v>
      </c>
      <c r="N27" s="122"/>
      <c r="O27" s="6"/>
      <c r="P27" s="6"/>
      <c r="Q27" s="6"/>
      <c r="R27" s="6"/>
      <c r="S27" s="6"/>
      <c r="T27" s="6"/>
      <c r="U27" s="6"/>
      <c r="V27" s="6"/>
      <c r="W27" s="6"/>
      <c r="X27" s="6"/>
      <c r="Y27" s="6"/>
      <c r="Z27" s="6"/>
      <c r="AA27" s="6"/>
      <c r="AB27" s="6"/>
    </row>
    <row r="28" spans="1:28" ht="27" thickBot="1" x14ac:dyDescent="0.35">
      <c r="A28" s="713"/>
      <c r="B28" s="414" t="s">
        <v>7511</v>
      </c>
      <c r="C28" s="331">
        <f>SUM(C23:C27)</f>
        <v>100</v>
      </c>
      <c r="D28" s="321">
        <f>SUM(D25:D27)</f>
        <v>50</v>
      </c>
      <c r="E28" s="320">
        <v>0</v>
      </c>
      <c r="F28" s="320">
        <f t="shared" ref="F28:L28" si="24">SUM(F23:F27)</f>
        <v>0</v>
      </c>
      <c r="G28" s="320">
        <f t="shared" si="24"/>
        <v>30</v>
      </c>
      <c r="H28" s="327">
        <f t="shared" si="24"/>
        <v>-70</v>
      </c>
      <c r="I28" s="642">
        <f t="shared" si="24"/>
        <v>-29.56</v>
      </c>
      <c r="J28" s="325">
        <f t="shared" si="24"/>
        <v>0</v>
      </c>
      <c r="K28" s="325">
        <f t="shared" si="24"/>
        <v>0</v>
      </c>
      <c r="L28" s="327">
        <f t="shared" si="24"/>
        <v>-29.56</v>
      </c>
      <c r="M28" s="327">
        <f>SUM(M12:M27)</f>
        <v>53.779999999999916</v>
      </c>
      <c r="N28" s="122"/>
      <c r="O28" s="6"/>
      <c r="P28" s="6"/>
      <c r="Q28" s="6"/>
      <c r="R28" s="6"/>
      <c r="S28" s="6"/>
      <c r="T28" s="6"/>
      <c r="U28" s="6"/>
      <c r="V28" s="6"/>
      <c r="W28" s="6"/>
      <c r="X28" s="6"/>
      <c r="Y28" s="6"/>
      <c r="Z28" s="6"/>
      <c r="AA28" s="6"/>
      <c r="AB28" s="6"/>
    </row>
    <row r="29" spans="1:28" ht="32.25" customHeight="1" thickBot="1" x14ac:dyDescent="0.4">
      <c r="A29" s="200"/>
      <c r="B29" s="472" t="s">
        <v>7443</v>
      </c>
      <c r="C29" s="411">
        <f>SUM(C7+C28+C11+C9+C14+C17+C19)</f>
        <v>330</v>
      </c>
      <c r="D29" s="412">
        <f>SUM(D7+D28+D11+D9)</f>
        <v>50</v>
      </c>
      <c r="E29" s="411">
        <f>SUM(E7+E28+E11+E9)</f>
        <v>0</v>
      </c>
      <c r="F29" s="411">
        <f>SUM(F7+F28+F11+F9+F14+F17+F19)</f>
        <v>0</v>
      </c>
      <c r="G29" s="411">
        <f>SUM(G7+G28+G11+G9+G14+G17+G19)</f>
        <v>205</v>
      </c>
      <c r="H29" s="411">
        <f>SUM(H7+H9+H11+H14+H17+H19+H28)</f>
        <v>-125</v>
      </c>
      <c r="I29" s="635">
        <f>SUM(I28+I9+I11)</f>
        <v>-126.56</v>
      </c>
      <c r="J29" s="411">
        <f>SUM(J7+J28+J9+J11)</f>
        <v>0</v>
      </c>
      <c r="K29" s="411">
        <f>SUM(K7+K28+K9+K11)</f>
        <v>0</v>
      </c>
      <c r="L29" s="413">
        <f>SUM(L28+L7+L11+L9)</f>
        <v>-141.82999999999998</v>
      </c>
      <c r="M29" s="413">
        <f>SUM(M7+M28+M14+M17+M19+M22+M9+M11)</f>
        <v>-21.820000000000078</v>
      </c>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6"/>
      <c r="H30" s="6"/>
      <c r="I30" s="6"/>
      <c r="J30" s="6"/>
      <c r="K30" s="6"/>
      <c r="L30" s="368"/>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row r="219" spans="1:28" ht="15.75" customHeight="1" x14ac:dyDescent="0.2"/>
    <row r="220" spans="1:28" ht="15.75" customHeight="1" x14ac:dyDescent="0.2"/>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 customHeight="1" x14ac:dyDescent="0.2"/>
  </sheetData>
  <mergeCells count="12">
    <mergeCell ref="I1:M1"/>
    <mergeCell ref="C1:H1"/>
    <mergeCell ref="A3:A7"/>
    <mergeCell ref="A1:A2"/>
    <mergeCell ref="B1:B2"/>
    <mergeCell ref="A10:A11"/>
    <mergeCell ref="A8:A9"/>
    <mergeCell ref="A23:A28"/>
    <mergeCell ref="A12:A14"/>
    <mergeCell ref="A15:A17"/>
    <mergeCell ref="A18:A19"/>
    <mergeCell ref="A20:A22"/>
  </mergeCells>
  <conditionalFormatting sqref="A1:C1 I1:M1 H2 L2:M2 A2:A6 B11:B26 C12:K23 L12:XFD28 C22:H24">
    <cfRule type="cellIs" dxfId="57" priority="32" operator="lessThan">
      <formula>0</formula>
    </cfRule>
  </conditionalFormatting>
  <conditionalFormatting sqref="A7:I7 B9:L9 B11:M11">
    <cfRule type="cellIs" dxfId="56" priority="139" operator="lessThan">
      <formula>0</formula>
    </cfRule>
  </conditionalFormatting>
  <conditionalFormatting sqref="A10:K10">
    <cfRule type="cellIs" dxfId="55" priority="9" operator="lessThan">
      <formula>0</formula>
    </cfRule>
  </conditionalFormatting>
  <conditionalFormatting sqref="A8:M8">
    <cfRule type="cellIs" dxfId="54" priority="4" operator="lessThan">
      <formula>0</formula>
    </cfRule>
  </conditionalFormatting>
  <conditionalFormatting sqref="B28:C28">
    <cfRule type="cellIs" dxfId="53" priority="132" operator="lessThan">
      <formula>#REF!</formula>
    </cfRule>
  </conditionalFormatting>
  <conditionalFormatting sqref="B3:H10 I4:K4 L4:M7 L9:M10 A12 A15 A18 A20 A23 F24:F25 J24:K27 I24:J28 B25:H28 A29:XFD1048576">
    <cfRule type="cellIs" dxfId="52" priority="190" operator="lessThan">
      <formula>0</formula>
    </cfRule>
  </conditionalFormatting>
  <conditionalFormatting sqref="B5:K6">
    <cfRule type="cellIs" dxfId="51" priority="93" operator="lessThan">
      <formula>0</formula>
    </cfRule>
  </conditionalFormatting>
  <conditionalFormatting sqref="C12:C23 B12:B24 L12:L27 M12:M28 O12:XFD28 F14:K23 I28">
    <cfRule type="cellIs" dxfId="50" priority="67" operator="lessThan">
      <formula>#REF!</formula>
    </cfRule>
  </conditionalFormatting>
  <conditionalFormatting sqref="I3:M3">
    <cfRule type="cellIs" dxfId="49" priority="56" operator="lessThan">
      <formula>0</formula>
    </cfRule>
  </conditionalFormatting>
  <conditionalFormatting sqref="J5:J7 K7">
    <cfRule type="cellIs" dxfId="48" priority="76" operator="lessThan">
      <formula>0</formula>
    </cfRule>
  </conditionalFormatting>
  <conditionalFormatting sqref="K28">
    <cfRule type="cellIs" dxfId="47" priority="64" operator="lessThan">
      <formula>0</formula>
    </cfRule>
  </conditionalFormatting>
  <conditionalFormatting sqref="N1:XFD2 F3:H3 J3:M3 B3:C4 A3:A6 O3:XFD6 F4:M4 M4:M6 L5:M7 H7:I7 A7:C8 P7:XFD11 D8 H8 M8 B9:C9 H9:L9 L9:M10 A10 B11:M11 A12 F12:K12 F13:I13 K13:L13 A15 A18 A20 A23 A29:XFD1048576">
    <cfRule type="cellIs" dxfId="46" priority="191" operator="lessThan">
      <formula>#REF!</formula>
    </cfRule>
  </conditionalFormatting>
  <conditionalFormatting sqref="N1:XFD11">
    <cfRule type="cellIs" dxfId="45" priority="40" operator="lessThan">
      <formula>0</formula>
    </cfRule>
  </conditionalFormatting>
  <pageMargins left="0.7" right="0.7" top="0.78740157499999996" bottom="0.78740157499999996"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79998168889431442"/>
  </sheetPr>
  <dimension ref="A1:P56"/>
  <sheetViews>
    <sheetView zoomScale="64" zoomScaleNormal="65" zoomScalePageLayoutView="65" workbookViewId="0">
      <pane xSplit="1" ySplit="2" topLeftCell="B49" activePane="bottomRight" state="frozen"/>
      <selection pane="topRight" activeCell="B1" sqref="B1"/>
      <selection pane="bottomLeft" activeCell="A3" sqref="A3"/>
      <selection pane="bottomRight" activeCell="A51" sqref="A51:A52"/>
    </sheetView>
  </sheetViews>
  <sheetFormatPr baseColWidth="10" defaultColWidth="11.5" defaultRowHeight="26.25" customHeight="1" x14ac:dyDescent="0.3"/>
  <cols>
    <col min="1" max="1" width="33.5" style="9" customWidth="1"/>
    <col min="2" max="2" width="46.6640625" style="9" customWidth="1"/>
    <col min="3" max="3" width="25.83203125" style="9" customWidth="1"/>
    <col min="4" max="4" width="21.1640625" style="9" customWidth="1"/>
    <col min="5" max="13" width="25.83203125" style="9" customWidth="1"/>
    <col min="14" max="14" width="20.5" style="9" customWidth="1"/>
    <col min="15" max="16384" width="11.5" style="9"/>
  </cols>
  <sheetData>
    <row r="1" spans="1:14" ht="26.25" customHeight="1" x14ac:dyDescent="0.3">
      <c r="A1" s="677" t="s">
        <v>7456</v>
      </c>
      <c r="B1" s="676" t="s">
        <v>7457</v>
      </c>
      <c r="C1" s="674" t="s">
        <v>7348</v>
      </c>
      <c r="D1" s="674"/>
      <c r="E1" s="674"/>
      <c r="F1" s="674"/>
      <c r="G1" s="674"/>
      <c r="H1" s="674"/>
      <c r="I1" s="675" t="s">
        <v>7503</v>
      </c>
      <c r="J1" s="675"/>
      <c r="K1" s="675"/>
      <c r="L1" s="675"/>
      <c r="M1" s="675"/>
    </row>
    <row r="2" spans="1:14" ht="26.25" customHeight="1" x14ac:dyDescent="0.3">
      <c r="A2" s="677"/>
      <c r="B2" s="701"/>
      <c r="C2" s="314" t="s">
        <v>7350</v>
      </c>
      <c r="D2" s="315" t="s">
        <v>7562</v>
      </c>
      <c r="E2" s="316" t="s">
        <v>7563</v>
      </c>
      <c r="F2" s="317" t="s">
        <v>7353</v>
      </c>
      <c r="G2" s="318" t="s">
        <v>7458</v>
      </c>
      <c r="H2" s="308" t="s">
        <v>7355</v>
      </c>
      <c r="I2" s="309" t="s">
        <v>7350</v>
      </c>
      <c r="J2" s="310" t="s">
        <v>7353</v>
      </c>
      <c r="K2" s="313" t="s">
        <v>7458</v>
      </c>
      <c r="L2" s="311" t="s">
        <v>7355</v>
      </c>
      <c r="M2" s="312" t="s">
        <v>7459</v>
      </c>
    </row>
    <row r="3" spans="1:14" ht="26.25" customHeight="1" x14ac:dyDescent="0.3">
      <c r="A3" s="716" t="s">
        <v>7424</v>
      </c>
      <c r="B3" s="191" t="s">
        <v>7564</v>
      </c>
      <c r="C3" s="157">
        <v>420</v>
      </c>
      <c r="D3" s="158">
        <v>0</v>
      </c>
      <c r="E3" s="159">
        <v>0</v>
      </c>
      <c r="F3" s="159">
        <v>0</v>
      </c>
      <c r="G3" s="157">
        <v>250</v>
      </c>
      <c r="H3" s="162">
        <f>F3+G3-C3</f>
        <v>-170</v>
      </c>
      <c r="I3" s="160">
        <f>SUMIFS('Cashbook ING'!$B:$B, 'Cashbook ING'!$A:$A, "BD_RevealBorrel_Drinks")</f>
        <v>-388.8</v>
      </c>
      <c r="J3" s="157">
        <v>0</v>
      </c>
      <c r="K3" s="157">
        <v>0</v>
      </c>
      <c r="L3" s="162">
        <f>J3+K3+I3</f>
        <v>-388.8</v>
      </c>
      <c r="M3" s="162">
        <f>L3-H3</f>
        <v>-218.8</v>
      </c>
    </row>
    <row r="4" spans="1:14" ht="26.25" customHeight="1" x14ac:dyDescent="0.3">
      <c r="A4" s="716"/>
      <c r="B4" s="615" t="s">
        <v>7565</v>
      </c>
      <c r="C4" s="619">
        <v>15</v>
      </c>
      <c r="D4" s="158">
        <v>0</v>
      </c>
      <c r="E4" s="159">
        <v>0</v>
      </c>
      <c r="F4" s="159">
        <v>0</v>
      </c>
      <c r="G4" s="157">
        <v>0</v>
      </c>
      <c r="H4" s="162">
        <f t="shared" ref="H4" si="0">F4+G4-C4</f>
        <v>-15</v>
      </c>
      <c r="I4" s="160">
        <f>SUMIFS('Cashbook ING'!$B:$B, 'Cashbook ING'!$A:$A, "BD_RevealBorrel_Supplies")</f>
        <v>0</v>
      </c>
      <c r="J4" s="157">
        <v>0</v>
      </c>
      <c r="K4" s="157">
        <v>0</v>
      </c>
      <c r="L4" s="162">
        <f>J4+K4+I4</f>
        <v>0</v>
      </c>
      <c r="M4" s="162">
        <f t="shared" ref="M4" si="1">L4-H4</f>
        <v>15</v>
      </c>
    </row>
    <row r="5" spans="1:14" ht="26.25" customHeight="1" x14ac:dyDescent="0.3">
      <c r="A5" s="716"/>
      <c r="B5" s="191" t="s">
        <v>7509</v>
      </c>
      <c r="C5" s="157">
        <v>0</v>
      </c>
      <c r="D5" s="158">
        <v>110</v>
      </c>
      <c r="E5" s="159">
        <v>2</v>
      </c>
      <c r="F5" s="159">
        <f>D5*E5</f>
        <v>220</v>
      </c>
      <c r="G5" s="157">
        <v>0</v>
      </c>
      <c r="H5" s="162">
        <f>F5+G5-C5</f>
        <v>220</v>
      </c>
      <c r="I5" s="160">
        <v>0</v>
      </c>
      <c r="J5" s="157">
        <f>SUMIFS('Cashbook Wix'!$B$2:$B$7012,'Cashbook Wix'!$A$2:$A$7012,"BD_RevealBorrel_Member")+SUMIFS('Cashbook ING'!$B:$B, 'Cashbook ING'!$A:$A, "BD_RevealBorrel_Member")</f>
        <v>131.07999999999996</v>
      </c>
      <c r="K5" s="157">
        <v>0</v>
      </c>
      <c r="L5" s="162">
        <f t="shared" ref="L5:L6" si="2">J5+K5+I5</f>
        <v>131.07999999999996</v>
      </c>
      <c r="M5" s="162">
        <f>L5-H5</f>
        <v>-88.920000000000044</v>
      </c>
    </row>
    <row r="6" spans="1:14" ht="26.25" customHeight="1" x14ac:dyDescent="0.3">
      <c r="A6" s="716"/>
      <c r="B6" s="191" t="s">
        <v>7510</v>
      </c>
      <c r="C6" s="157">
        <v>0</v>
      </c>
      <c r="D6" s="158">
        <v>10</v>
      </c>
      <c r="E6" s="159">
        <v>4</v>
      </c>
      <c r="F6" s="159">
        <f>D6*E6</f>
        <v>40</v>
      </c>
      <c r="G6" s="157">
        <v>0</v>
      </c>
      <c r="H6" s="162">
        <f>F6+G6-C6</f>
        <v>40</v>
      </c>
      <c r="I6" s="160">
        <v>0</v>
      </c>
      <c r="J6" s="157">
        <f>SUMIFS('Cashbook Wix'!$B$2:$B$7012,'Cashbook Wix'!$A$2:$A$7012,"BD_RevealBorrel_NonMember")</f>
        <v>58.15</v>
      </c>
      <c r="K6" s="157">
        <v>0</v>
      </c>
      <c r="L6" s="162">
        <f t="shared" si="2"/>
        <v>58.15</v>
      </c>
      <c r="M6" s="162">
        <f>L6-H6</f>
        <v>18.149999999999999</v>
      </c>
    </row>
    <row r="7" spans="1:14" ht="26.25" customHeight="1" x14ac:dyDescent="0.3">
      <c r="A7" s="716"/>
      <c r="B7" s="341" t="s">
        <v>7511</v>
      </c>
      <c r="C7" s="360">
        <f>SUM(C3:C6)</f>
        <v>435</v>
      </c>
      <c r="D7" s="416">
        <f>SUM(D3:D6)</f>
        <v>120</v>
      </c>
      <c r="E7" s="372">
        <v>0</v>
      </c>
      <c r="F7" s="373">
        <f>SUM(F3:F6)</f>
        <v>260</v>
      </c>
      <c r="G7" s="372">
        <f t="shared" ref="G7:M7" si="3">SUM(G3:G6)</f>
        <v>250</v>
      </c>
      <c r="H7" s="417">
        <f t="shared" si="3"/>
        <v>75</v>
      </c>
      <c r="I7" s="339">
        <f>SUM(I3:I6)</f>
        <v>-388.8</v>
      </c>
      <c r="J7" s="340">
        <f t="shared" si="3"/>
        <v>189.22999999999996</v>
      </c>
      <c r="K7" s="340">
        <f t="shared" si="3"/>
        <v>0</v>
      </c>
      <c r="L7" s="341">
        <f>SUM(L3:L6)</f>
        <v>-199.57000000000002</v>
      </c>
      <c r="M7" s="341">
        <f t="shared" si="3"/>
        <v>-274.57000000000005</v>
      </c>
      <c r="N7" s="122"/>
    </row>
    <row r="8" spans="1:14" ht="26.25" customHeight="1" x14ac:dyDescent="0.3">
      <c r="A8" s="715" t="s">
        <v>7566</v>
      </c>
      <c r="B8" s="479" t="s">
        <v>7414</v>
      </c>
      <c r="C8" s="157">
        <v>120</v>
      </c>
      <c r="D8" s="158">
        <v>0</v>
      </c>
      <c r="E8" s="159">
        <v>0</v>
      </c>
      <c r="F8" s="159">
        <v>0</v>
      </c>
      <c r="G8" s="157">
        <v>120</v>
      </c>
      <c r="H8" s="162">
        <f t="shared" ref="H8:H12" si="4">F8+G8-C8</f>
        <v>0</v>
      </c>
      <c r="I8" s="156">
        <f>SUMIFS('Cashbook ING'!$B:$B, 'Cashbook ING'!$A:$A, "ART_Gingerbread_Gingerbread")</f>
        <v>-118.65</v>
      </c>
      <c r="J8" s="153">
        <f>SUMIFS('Cashbook Wix'!$B$2:$B$7012,'Cashbook Wix'!$A$2:$A$7012,"BD_")</f>
        <v>0</v>
      </c>
      <c r="K8" s="153">
        <v>0</v>
      </c>
      <c r="L8" s="161">
        <f t="shared" ref="L8:L12" si="5">J8+K8+I8</f>
        <v>-118.65</v>
      </c>
      <c r="M8" s="161">
        <f t="shared" ref="M8:M41" si="6">L8-H8</f>
        <v>-118.65</v>
      </c>
    </row>
    <row r="9" spans="1:14" ht="26.25" customHeight="1" x14ac:dyDescent="0.3">
      <c r="A9" s="716"/>
      <c r="B9" s="618" t="s">
        <v>7538</v>
      </c>
      <c r="C9" s="619">
        <v>50</v>
      </c>
      <c r="D9" s="158">
        <v>0</v>
      </c>
      <c r="E9" s="159">
        <v>0</v>
      </c>
      <c r="F9" s="159">
        <v>0</v>
      </c>
      <c r="G9" s="157">
        <v>0</v>
      </c>
      <c r="H9" s="162">
        <f t="shared" si="4"/>
        <v>-50</v>
      </c>
      <c r="I9" s="160">
        <f>SUMIFS('Cashbook ING'!$B:$B, 'Cashbook ING'!$A:$A, "ART_Gingerbread_Decoration")</f>
        <v>-49.92</v>
      </c>
      <c r="J9" s="157">
        <f>SUMIFS('Cashbook Wix'!$B$2:$B$7012,'Cashbook Wix'!$A$2:$A$7012,"BD_")</f>
        <v>0</v>
      </c>
      <c r="K9" s="157">
        <v>0</v>
      </c>
      <c r="L9" s="162">
        <f t="shared" si="5"/>
        <v>-49.92</v>
      </c>
      <c r="M9" s="162">
        <f t="shared" si="6"/>
        <v>7.9999999999998295E-2</v>
      </c>
    </row>
    <row r="10" spans="1:14" ht="26.25" customHeight="1" x14ac:dyDescent="0.3">
      <c r="A10" s="716"/>
      <c r="B10" s="618" t="s">
        <v>7567</v>
      </c>
      <c r="C10" s="619">
        <v>0</v>
      </c>
      <c r="D10" s="158">
        <v>0</v>
      </c>
      <c r="E10" s="159">
        <v>0</v>
      </c>
      <c r="F10" s="159">
        <v>0</v>
      </c>
      <c r="G10" s="157">
        <v>0</v>
      </c>
      <c r="H10" s="162">
        <f t="shared" si="4"/>
        <v>0</v>
      </c>
      <c r="I10" s="160">
        <f>SUMIFS('Cashbook ING'!$B:$B, 'Cashbook ING'!$A:$A, "BD_")</f>
        <v>0</v>
      </c>
      <c r="J10" s="157">
        <f>SUMIFS('Cashbook Wix'!$B$2:$B$7012,'Cashbook Wix'!$A$2:$A$7012,"BD_")</f>
        <v>0</v>
      </c>
      <c r="K10" s="157">
        <v>0</v>
      </c>
      <c r="L10" s="162">
        <f t="shared" si="5"/>
        <v>0</v>
      </c>
      <c r="M10" s="162">
        <f t="shared" si="6"/>
        <v>0</v>
      </c>
    </row>
    <row r="11" spans="1:14" ht="26.25" customHeight="1" x14ac:dyDescent="0.3">
      <c r="A11" s="716"/>
      <c r="B11" s="618" t="s">
        <v>7540</v>
      </c>
      <c r="C11" s="619">
        <v>0</v>
      </c>
      <c r="D11" s="158">
        <v>0</v>
      </c>
      <c r="E11" s="159">
        <v>0</v>
      </c>
      <c r="F11" s="159">
        <v>0</v>
      </c>
      <c r="G11" s="157">
        <v>0</v>
      </c>
      <c r="H11" s="162">
        <f t="shared" si="4"/>
        <v>0</v>
      </c>
      <c r="I11" s="160">
        <f>SUMIFS('Cashbook ING'!$B:$B, 'Cashbook ING'!$A:$A, "BD_")</f>
        <v>0</v>
      </c>
      <c r="J11" s="157">
        <f>SUMIFS('Cashbook Wix'!$B$2:$B$7012,'Cashbook Wix'!$A$2:$A$7012,"BD_")</f>
        <v>0</v>
      </c>
      <c r="K11" s="157">
        <v>0</v>
      </c>
      <c r="L11" s="162">
        <f t="shared" si="5"/>
        <v>0</v>
      </c>
      <c r="M11" s="162">
        <f t="shared" si="6"/>
        <v>0</v>
      </c>
    </row>
    <row r="12" spans="1:14" ht="26.25" customHeight="1" x14ac:dyDescent="0.3">
      <c r="A12" s="716"/>
      <c r="B12" s="618" t="s">
        <v>7520</v>
      </c>
      <c r="C12" s="619">
        <v>10</v>
      </c>
      <c r="D12" s="158">
        <v>0</v>
      </c>
      <c r="E12" s="159">
        <v>0</v>
      </c>
      <c r="F12" s="159">
        <v>0</v>
      </c>
      <c r="G12" s="157">
        <v>0</v>
      </c>
      <c r="H12" s="162">
        <f t="shared" si="4"/>
        <v>-10</v>
      </c>
      <c r="I12" s="160">
        <f>SUMIFS('Cashbook ING'!$B:$B, 'Cashbook ING'!$A:$A, "ART_Gingerbread_Price")</f>
        <v>-9.36</v>
      </c>
      <c r="J12" s="157">
        <f>SUMIFS('Cashbook Wix'!$B$2:$B$7012,'Cashbook Wix'!$A$2:$A$7012,"BD_")</f>
        <v>0</v>
      </c>
      <c r="K12" s="157">
        <v>0</v>
      </c>
      <c r="L12" s="162">
        <f t="shared" si="5"/>
        <v>-9.36</v>
      </c>
      <c r="M12" s="162">
        <f t="shared" si="6"/>
        <v>0.64000000000000057</v>
      </c>
    </row>
    <row r="13" spans="1:14" ht="26.25" customHeight="1" x14ac:dyDescent="0.3">
      <c r="A13" s="716"/>
      <c r="B13" s="191" t="s">
        <v>7509</v>
      </c>
      <c r="C13" s="157">
        <v>0</v>
      </c>
      <c r="D13" s="158">
        <v>60</v>
      </c>
      <c r="E13" s="159">
        <v>2.5</v>
      </c>
      <c r="F13" s="159">
        <f>D13*E13</f>
        <v>150</v>
      </c>
      <c r="G13" s="157">
        <v>0</v>
      </c>
      <c r="H13" s="162">
        <f>F13+G13-C13</f>
        <v>150</v>
      </c>
      <c r="I13" s="160">
        <v>0</v>
      </c>
      <c r="J13" s="157">
        <f>SUMIFS('Cashbook Wix'!$B$2:$B$7012,'Cashbook Wix'!$A$2:$A$7012,"ART_Gingerbread_Member")</f>
        <v>60.109999999999985</v>
      </c>
      <c r="K13" s="157">
        <v>0</v>
      </c>
      <c r="L13" s="162">
        <f t="shared" ref="L13:L14" si="7">J13+K13+I13</f>
        <v>60.109999999999985</v>
      </c>
      <c r="M13" s="162">
        <f t="shared" si="6"/>
        <v>-89.890000000000015</v>
      </c>
    </row>
    <row r="14" spans="1:14" ht="26.25" customHeight="1" x14ac:dyDescent="0.3">
      <c r="A14" s="716"/>
      <c r="B14" s="191" t="s">
        <v>7510</v>
      </c>
      <c r="C14" s="157">
        <v>0</v>
      </c>
      <c r="D14" s="158">
        <v>8</v>
      </c>
      <c r="E14" s="159">
        <v>4.5</v>
      </c>
      <c r="F14" s="159">
        <f>D14*E14</f>
        <v>36</v>
      </c>
      <c r="G14" s="157">
        <v>0</v>
      </c>
      <c r="H14" s="162">
        <f>F14+G14-C14</f>
        <v>36</v>
      </c>
      <c r="I14" s="160">
        <v>0</v>
      </c>
      <c r="J14" s="157">
        <f>SUMIFS('Cashbook Wix'!$B$2:$B$7012,'Cashbook Wix'!$A$2:$A$7012,"ART_Gingerbread_NonMember")</f>
        <v>20.47</v>
      </c>
      <c r="K14" s="157">
        <v>0</v>
      </c>
      <c r="L14" s="162">
        <f t="shared" si="7"/>
        <v>20.47</v>
      </c>
      <c r="M14" s="162">
        <f t="shared" si="6"/>
        <v>-15.530000000000001</v>
      </c>
    </row>
    <row r="15" spans="1:14" s="21" customFormat="1" ht="26.25" customHeight="1" x14ac:dyDescent="0.3">
      <c r="A15" s="717"/>
      <c r="B15" s="341" t="s">
        <v>7511</v>
      </c>
      <c r="C15" s="360">
        <f>SUM(C8:C14)</f>
        <v>180</v>
      </c>
      <c r="D15" s="416">
        <f>SUM(D8:D14)</f>
        <v>68</v>
      </c>
      <c r="E15" s="372">
        <v>0</v>
      </c>
      <c r="F15" s="373">
        <f t="shared" ref="F15:K15" si="8">SUM(F8:F14)</f>
        <v>186</v>
      </c>
      <c r="G15" s="372">
        <f t="shared" si="8"/>
        <v>120</v>
      </c>
      <c r="H15" s="417">
        <f t="shared" si="8"/>
        <v>126</v>
      </c>
      <c r="I15" s="360">
        <f>SUM(I8:I14)</f>
        <v>-177.93</v>
      </c>
      <c r="J15" s="373">
        <f t="shared" si="8"/>
        <v>80.579999999999984</v>
      </c>
      <c r="K15" s="373">
        <f t="shared" si="8"/>
        <v>0</v>
      </c>
      <c r="L15" s="505">
        <f>SUM(L8:L14)</f>
        <v>-97.350000000000023</v>
      </c>
      <c r="M15" s="418">
        <f>SUM(M8:M14)</f>
        <v>-223.35000000000002</v>
      </c>
      <c r="N15" s="122"/>
    </row>
    <row r="16" spans="1:14" s="21" customFormat="1" ht="26.25" customHeight="1" x14ac:dyDescent="0.3">
      <c r="A16" s="716" t="s">
        <v>7426</v>
      </c>
      <c r="B16" s="479" t="s">
        <v>7568</v>
      </c>
      <c r="C16" s="157">
        <f>60*5</f>
        <v>300</v>
      </c>
      <c r="D16" s="158">
        <v>0</v>
      </c>
      <c r="E16" s="157">
        <v>0</v>
      </c>
      <c r="F16" s="157">
        <f>D16*E16</f>
        <v>0</v>
      </c>
      <c r="G16" s="157">
        <v>0</v>
      </c>
      <c r="H16" s="162">
        <f>F16+G16-C16</f>
        <v>-300</v>
      </c>
      <c r="I16" s="160">
        <f>SUMIFS('Cashbook ING'!$B:$B, 'Cashbook ING'!$A:$A, "BD_GameNight_Tokens")</f>
        <v>-300</v>
      </c>
      <c r="J16" s="160">
        <f>SUMIFS('Cashbook Wix'!$B$2:$B$7012,'Cashbook Wix'!$A$2:$A$7012,"BD_ValentinesNotes_Ticket")</f>
        <v>0</v>
      </c>
      <c r="K16" s="160">
        <v>0</v>
      </c>
      <c r="L16" s="480">
        <f>K16+J16+I16</f>
        <v>-300</v>
      </c>
      <c r="M16" s="162">
        <f>L16-H16</f>
        <v>0</v>
      </c>
      <c r="N16" s="122"/>
    </row>
    <row r="17" spans="1:16" s="21" customFormat="1" ht="26.25" customHeight="1" x14ac:dyDescent="0.3">
      <c r="A17" s="716"/>
      <c r="B17" s="480" t="s">
        <v>7569</v>
      </c>
      <c r="C17" s="157">
        <v>40</v>
      </c>
      <c r="D17" s="158">
        <v>0</v>
      </c>
      <c r="E17" s="157">
        <v>0</v>
      </c>
      <c r="F17" s="157">
        <v>0</v>
      </c>
      <c r="G17" s="157">
        <v>40</v>
      </c>
      <c r="H17" s="162">
        <f t="shared" ref="H17:H19" si="9">F17+G17-C17</f>
        <v>0</v>
      </c>
      <c r="I17" s="160">
        <f>SUMIFS('Cashbook ING'!$B:$B, 'Cashbook ING'!$A:$A, "BD_GameNight_Supplies")</f>
        <v>-8.75</v>
      </c>
      <c r="J17" s="160">
        <f>SUMIFS('Cashbook Wix'!$B$2:$B$7012,'Cashbook Wix'!$A$2:$A$7012,"BD_")</f>
        <v>0</v>
      </c>
      <c r="K17" s="160">
        <v>0</v>
      </c>
      <c r="L17" s="480">
        <f t="shared" ref="L17:L19" si="10">K17+J17+I17</f>
        <v>-8.75</v>
      </c>
      <c r="M17" s="162">
        <f t="shared" ref="M17:M19" si="11">L17-H17</f>
        <v>-8.75</v>
      </c>
      <c r="N17" s="122"/>
    </row>
    <row r="18" spans="1:16" s="21" customFormat="1" ht="26.25" customHeight="1" x14ac:dyDescent="0.3">
      <c r="A18" s="716"/>
      <c r="B18" s="480" t="s">
        <v>7509</v>
      </c>
      <c r="C18" s="157">
        <v>0</v>
      </c>
      <c r="D18" s="158">
        <v>45</v>
      </c>
      <c r="E18" s="157">
        <v>4</v>
      </c>
      <c r="F18" s="157">
        <f>D18*E18</f>
        <v>180</v>
      </c>
      <c r="G18" s="157">
        <v>0</v>
      </c>
      <c r="H18" s="162">
        <f t="shared" si="9"/>
        <v>180</v>
      </c>
      <c r="I18" s="160">
        <f>SUMIFS('Cashbook ING'!$B:$B, 'Cashbook ING'!$A:$A, "BD_")</f>
        <v>0</v>
      </c>
      <c r="J18" s="160">
        <f>SUMIFS('Cashbook Wix'!$B$2:$B$7012,'Cashbook Wix'!$A$2:$A$7012,"BD_GameNight_Member")</f>
        <v>101.10000000000001</v>
      </c>
      <c r="K18" s="160">
        <v>0</v>
      </c>
      <c r="L18" s="480">
        <f t="shared" si="10"/>
        <v>101.10000000000001</v>
      </c>
      <c r="M18" s="162">
        <f t="shared" si="11"/>
        <v>-78.899999999999991</v>
      </c>
      <c r="N18" s="122"/>
    </row>
    <row r="19" spans="1:16" s="21" customFormat="1" ht="26.25" customHeight="1" x14ac:dyDescent="0.3">
      <c r="A19" s="716"/>
      <c r="B19" s="480" t="s">
        <v>7510</v>
      </c>
      <c r="C19" s="157">
        <v>0</v>
      </c>
      <c r="D19" s="158">
        <v>5</v>
      </c>
      <c r="E19" s="157">
        <v>5.5</v>
      </c>
      <c r="F19" s="157">
        <f>D19*E19</f>
        <v>27.5</v>
      </c>
      <c r="G19" s="157">
        <v>0</v>
      </c>
      <c r="H19" s="162">
        <f t="shared" si="9"/>
        <v>27.5</v>
      </c>
      <c r="I19" s="160">
        <f>SUMIFS('Cashbook ING'!$B:$B, 'Cashbook ING'!$A:$A, "BD_")</f>
        <v>0</v>
      </c>
      <c r="J19" s="160">
        <f>SUMIFS('Cashbook Wix'!$B$2:$B$7012,'Cashbook Wix'!$A$2:$A$7012,"BD_GameNight_NonMember")</f>
        <v>40.760000000000005</v>
      </c>
      <c r="K19" s="160">
        <v>0</v>
      </c>
      <c r="L19" s="480">
        <f t="shared" si="10"/>
        <v>40.760000000000005</v>
      </c>
      <c r="M19" s="162">
        <f t="shared" si="11"/>
        <v>13.260000000000005</v>
      </c>
      <c r="N19" s="122"/>
    </row>
    <row r="20" spans="1:16" s="21" customFormat="1" ht="26.25" customHeight="1" x14ac:dyDescent="0.3">
      <c r="A20" s="717"/>
      <c r="B20" s="417" t="s">
        <v>7511</v>
      </c>
      <c r="C20" s="360">
        <f>SUM(C16:C19)</f>
        <v>340</v>
      </c>
      <c r="D20" s="416">
        <f>SUM(D16:D19)</f>
        <v>50</v>
      </c>
      <c r="E20" s="372">
        <v>0</v>
      </c>
      <c r="F20" s="373">
        <f t="shared" ref="F20:K20" si="12">SUM(F16:F19)</f>
        <v>207.5</v>
      </c>
      <c r="G20" s="372">
        <f t="shared" si="12"/>
        <v>40</v>
      </c>
      <c r="H20" s="417">
        <f t="shared" si="12"/>
        <v>-92.5</v>
      </c>
      <c r="I20" s="360">
        <f>SUM(I16:I19)</f>
        <v>-308.75</v>
      </c>
      <c r="J20" s="373">
        <f>SUM(J16:J19)</f>
        <v>141.86000000000001</v>
      </c>
      <c r="K20" s="373">
        <f t="shared" si="12"/>
        <v>0</v>
      </c>
      <c r="L20" s="417">
        <f>SUM(L16:L19)</f>
        <v>-166.89</v>
      </c>
      <c r="M20" s="418">
        <f>SUM(M16:M19)</f>
        <v>-74.389999999999986</v>
      </c>
      <c r="N20" s="122"/>
    </row>
    <row r="21" spans="1:16" s="21" customFormat="1" ht="26.25" customHeight="1" x14ac:dyDescent="0.3">
      <c r="A21" s="715" t="s">
        <v>7428</v>
      </c>
      <c r="B21" s="614" t="s">
        <v>7570</v>
      </c>
      <c r="C21" s="503">
        <v>400</v>
      </c>
      <c r="D21" s="154">
        <v>0</v>
      </c>
      <c r="E21" s="155">
        <v>0</v>
      </c>
      <c r="F21" s="155">
        <v>0</v>
      </c>
      <c r="G21" s="155">
        <v>200</v>
      </c>
      <c r="H21" s="161">
        <f t="shared" ref="H21:H30" si="13">G21+F21-C21</f>
        <v>-200</v>
      </c>
      <c r="I21" s="156">
        <f>SUMIFS('Cashbook ING'!$B:$B, 'Cashbook ING'!$A:$A, "BD_Bowling_Rent")</f>
        <v>-382.5</v>
      </c>
      <c r="J21" s="153">
        <v>0</v>
      </c>
      <c r="K21" s="153">
        <v>0</v>
      </c>
      <c r="L21" s="161">
        <f>K21+J21+I21</f>
        <v>-382.5</v>
      </c>
      <c r="M21" s="583">
        <f t="shared" si="6"/>
        <v>-182.5</v>
      </c>
      <c r="N21" s="122"/>
    </row>
    <row r="22" spans="1:16" s="21" customFormat="1" ht="26.25" customHeight="1" x14ac:dyDescent="0.3">
      <c r="A22" s="716"/>
      <c r="B22" s="615" t="s">
        <v>7544</v>
      </c>
      <c r="C22" s="616">
        <v>37</v>
      </c>
      <c r="D22" s="158">
        <v>0</v>
      </c>
      <c r="E22" s="159">
        <v>0</v>
      </c>
      <c r="F22" s="159">
        <v>0</v>
      </c>
      <c r="G22" s="159">
        <v>0</v>
      </c>
      <c r="H22" s="162">
        <f t="shared" si="13"/>
        <v>-37</v>
      </c>
      <c r="I22" s="160">
        <f>SUMIFS('Cashbook ING'!$B:$B, 'Cashbook ING'!$A:$A, "BD_Bowling_OpenBar")</f>
        <v>-160</v>
      </c>
      <c r="J22" s="157">
        <f>SUMIFS('Cashbook Wix'!$B$2:$B$7012,'Cashbook Wix'!$A$2:$A$7012,"BD_")</f>
        <v>0</v>
      </c>
      <c r="K22" s="157">
        <v>0</v>
      </c>
      <c r="L22" s="162">
        <f t="shared" ref="L22:L24" si="14">K22+J22+I22</f>
        <v>-160</v>
      </c>
      <c r="M22" s="584">
        <f t="shared" si="6"/>
        <v>-123</v>
      </c>
      <c r="N22" s="122"/>
    </row>
    <row r="23" spans="1:16" s="21" customFormat="1" ht="26.25" customHeight="1" x14ac:dyDescent="0.3">
      <c r="A23" s="716"/>
      <c r="B23" s="615" t="s">
        <v>7509</v>
      </c>
      <c r="C23" s="616">
        <v>0</v>
      </c>
      <c r="D23" s="158">
        <v>41</v>
      </c>
      <c r="E23" s="159">
        <v>4</v>
      </c>
      <c r="F23" s="159">
        <f>D23*E23</f>
        <v>164</v>
      </c>
      <c r="G23" s="159">
        <v>0</v>
      </c>
      <c r="H23" s="162">
        <f t="shared" si="13"/>
        <v>164</v>
      </c>
      <c r="I23" s="160">
        <f>SUMIFS('Cashbook ING'!$B:$B, 'Cashbook ING'!$A:$A, "BD_")</f>
        <v>0</v>
      </c>
      <c r="J23" s="157">
        <f>SUMIFS('Cashbook Wix'!$B$2:$B$7012,'Cashbook Wix'!$A$2:$A$7012,"BD_Bowling_Member")</f>
        <v>200.36000000000013</v>
      </c>
      <c r="K23" s="157">
        <v>0</v>
      </c>
      <c r="L23" s="162">
        <f t="shared" si="14"/>
        <v>200.36000000000013</v>
      </c>
      <c r="M23" s="584">
        <f t="shared" si="6"/>
        <v>36.360000000000127</v>
      </c>
      <c r="N23" s="122"/>
    </row>
    <row r="24" spans="1:16" s="21" customFormat="1" ht="26.25" customHeight="1" x14ac:dyDescent="0.3">
      <c r="A24" s="716"/>
      <c r="B24" s="191" t="s">
        <v>7510</v>
      </c>
      <c r="C24" s="159">
        <v>0</v>
      </c>
      <c r="D24" s="158">
        <v>4</v>
      </c>
      <c r="E24" s="159">
        <v>6</v>
      </c>
      <c r="F24" s="159">
        <f>D24*E24</f>
        <v>24</v>
      </c>
      <c r="G24" s="159">
        <v>0</v>
      </c>
      <c r="H24" s="162">
        <f t="shared" si="13"/>
        <v>24</v>
      </c>
      <c r="I24" s="160">
        <f>SUMIFS('Cashbook ING'!$B:$B, 'Cashbook ING'!$A:$A, "BD_")</f>
        <v>0</v>
      </c>
      <c r="J24" s="157">
        <f>SUMIFS('Cashbook Wix'!$B$2:$B$7012,'Cashbook Wix'!$A$2:$A$7012,"BD_Bowling_NonMember")</f>
        <v>22.55</v>
      </c>
      <c r="K24" s="157">
        <v>0</v>
      </c>
      <c r="L24" s="162">
        <f t="shared" si="14"/>
        <v>22.55</v>
      </c>
      <c r="M24" s="584">
        <f t="shared" si="6"/>
        <v>-1.4499999999999993</v>
      </c>
      <c r="N24" s="122"/>
    </row>
    <row r="25" spans="1:16" s="21" customFormat="1" ht="26.25" customHeight="1" x14ac:dyDescent="0.3">
      <c r="A25" s="717"/>
      <c r="B25" s="347" t="s">
        <v>7511</v>
      </c>
      <c r="C25" s="345">
        <f>SUM(C21:C24)</f>
        <v>437</v>
      </c>
      <c r="D25" s="346">
        <f>SUM(D21:D24)</f>
        <v>45</v>
      </c>
      <c r="E25" s="345">
        <v>0</v>
      </c>
      <c r="F25" s="345">
        <f t="shared" ref="F25:L25" si="15">SUM(F21:F24)</f>
        <v>188</v>
      </c>
      <c r="G25" s="345">
        <f t="shared" si="15"/>
        <v>200</v>
      </c>
      <c r="H25" s="417">
        <f t="shared" si="15"/>
        <v>-49</v>
      </c>
      <c r="I25" s="565">
        <f>SUM(I21:I24)</f>
        <v>-542.5</v>
      </c>
      <c r="J25" s="360">
        <f t="shared" si="15"/>
        <v>222.91000000000014</v>
      </c>
      <c r="K25" s="360">
        <f t="shared" si="15"/>
        <v>0</v>
      </c>
      <c r="L25" s="417">
        <f t="shared" si="15"/>
        <v>-319.58999999999986</v>
      </c>
      <c r="M25" s="417">
        <f>SUM(M21:M24)</f>
        <v>-270.58999999999986</v>
      </c>
      <c r="N25" s="122"/>
    </row>
    <row r="26" spans="1:16" s="21" customFormat="1" ht="26.25" customHeight="1" x14ac:dyDescent="0.3">
      <c r="A26" s="716" t="s">
        <v>7571</v>
      </c>
      <c r="B26" s="191" t="s">
        <v>7572</v>
      </c>
      <c r="C26" s="159">
        <v>30</v>
      </c>
      <c r="D26" s="158">
        <v>0</v>
      </c>
      <c r="E26" s="159">
        <v>0</v>
      </c>
      <c r="F26" s="159">
        <v>0</v>
      </c>
      <c r="G26" s="159">
        <v>0</v>
      </c>
      <c r="H26" s="162">
        <f t="shared" si="13"/>
        <v>-30</v>
      </c>
      <c r="I26" s="160">
        <f>SUMIFS('Cashbook ING'!$B:$B, 'Cashbook ING'!$A:$A, "BD")</f>
        <v>0</v>
      </c>
      <c r="J26" s="157">
        <f>SUMIFS('Cashbook Wix'!$B$2:$B$7012,'Cashbook Wix'!$A$2:$A$7012,"BD_")</f>
        <v>0</v>
      </c>
      <c r="K26" s="157">
        <v>0</v>
      </c>
      <c r="L26" s="162">
        <f t="shared" ref="L26:L30" si="16">K26+J26+I26</f>
        <v>0</v>
      </c>
      <c r="M26" s="162">
        <f t="shared" si="6"/>
        <v>30</v>
      </c>
      <c r="N26" s="122"/>
    </row>
    <row r="27" spans="1:16" s="21" customFormat="1" ht="26.25" customHeight="1" x14ac:dyDescent="0.3">
      <c r="A27" s="716"/>
      <c r="B27" s="615" t="s">
        <v>7538</v>
      </c>
      <c r="C27" s="616">
        <v>50</v>
      </c>
      <c r="D27" s="158">
        <v>0</v>
      </c>
      <c r="E27" s="159">
        <v>0</v>
      </c>
      <c r="F27" s="159">
        <v>0</v>
      </c>
      <c r="G27" s="159">
        <v>0</v>
      </c>
      <c r="H27" s="162">
        <f t="shared" si="13"/>
        <v>-50</v>
      </c>
      <c r="I27" s="160">
        <f>SUMIFS('Cashbook ING'!$B:$B, 'Cashbook ING'!$A:$A, "BD_")</f>
        <v>0</v>
      </c>
      <c r="J27" s="157">
        <f>SUMIFS('Cashbook Wix'!$B$2:$B$7012,'Cashbook Wix'!$A$2:$A$7012,"BD_")</f>
        <v>0</v>
      </c>
      <c r="K27" s="157">
        <v>0</v>
      </c>
      <c r="L27" s="162">
        <f t="shared" si="16"/>
        <v>0</v>
      </c>
      <c r="M27" s="162">
        <f t="shared" si="6"/>
        <v>50</v>
      </c>
      <c r="N27" s="122"/>
    </row>
    <row r="28" spans="1:16" s="21" customFormat="1" ht="26.25" customHeight="1" x14ac:dyDescent="0.3">
      <c r="A28" s="716"/>
      <c r="B28" s="615" t="s">
        <v>7430</v>
      </c>
      <c r="C28" s="616">
        <v>35</v>
      </c>
      <c r="D28" s="158">
        <v>0</v>
      </c>
      <c r="E28" s="159">
        <v>0</v>
      </c>
      <c r="F28" s="159">
        <v>0</v>
      </c>
      <c r="G28" s="616">
        <v>35</v>
      </c>
      <c r="H28" s="162">
        <f t="shared" si="13"/>
        <v>0</v>
      </c>
      <c r="I28" s="160">
        <f>SUMIFS('Cashbook ING'!$B:$B, 'Cashbook ING'!$A:$A, "BD_EasterEgg_Supplies")</f>
        <v>-110.72</v>
      </c>
      <c r="J28" s="157">
        <f>SUMIFS('Cashbook Wix'!$B$2:$B$7012,'Cashbook Wix'!$A$2:$A$7012,"BD_")</f>
        <v>0</v>
      </c>
      <c r="K28" s="157">
        <v>0</v>
      </c>
      <c r="L28" s="162">
        <f t="shared" si="16"/>
        <v>-110.72</v>
      </c>
      <c r="M28" s="162">
        <f t="shared" si="6"/>
        <v>-110.72</v>
      </c>
      <c r="N28" s="122"/>
    </row>
    <row r="29" spans="1:16" s="21" customFormat="1" ht="26.25" customHeight="1" x14ac:dyDescent="0.3">
      <c r="A29" s="716"/>
      <c r="B29" s="191" t="s">
        <v>7509</v>
      </c>
      <c r="C29" s="159">
        <v>0</v>
      </c>
      <c r="D29" s="158">
        <v>50</v>
      </c>
      <c r="E29" s="159">
        <v>0</v>
      </c>
      <c r="F29" s="159">
        <f>E29*D29</f>
        <v>0</v>
      </c>
      <c r="G29" s="159">
        <v>0</v>
      </c>
      <c r="H29" s="162">
        <f t="shared" si="13"/>
        <v>0</v>
      </c>
      <c r="I29" s="160">
        <v>0</v>
      </c>
      <c r="J29" s="157">
        <f>SUMIFS('Cashbook Wix'!$B$2:$B$7012,'Cashbook Wix'!$A$2:$A$7012,"BD_")</f>
        <v>0</v>
      </c>
      <c r="K29" s="157">
        <v>0</v>
      </c>
      <c r="L29" s="162">
        <f t="shared" si="16"/>
        <v>0</v>
      </c>
      <c r="M29" s="162">
        <f t="shared" si="6"/>
        <v>0</v>
      </c>
      <c r="N29" s="122"/>
    </row>
    <row r="30" spans="1:16" s="21" customFormat="1" ht="26.25" customHeight="1" x14ac:dyDescent="0.3">
      <c r="A30" s="716"/>
      <c r="B30" s="191" t="s">
        <v>7510</v>
      </c>
      <c r="C30" s="159">
        <v>0</v>
      </c>
      <c r="D30" s="158">
        <v>5</v>
      </c>
      <c r="E30" s="159">
        <v>0</v>
      </c>
      <c r="F30" s="159">
        <f>E30*D30</f>
        <v>0</v>
      </c>
      <c r="G30" s="159">
        <v>0</v>
      </c>
      <c r="H30" s="162">
        <f t="shared" si="13"/>
        <v>0</v>
      </c>
      <c r="I30" s="160">
        <v>0</v>
      </c>
      <c r="J30" s="157">
        <f>SUMIFS('Cashbook Wix'!$B$2:$B$7012,'Cashbook Wix'!$A$2:$A$7012,"BD_")</f>
        <v>0</v>
      </c>
      <c r="K30" s="157">
        <v>0</v>
      </c>
      <c r="L30" s="162">
        <f t="shared" si="16"/>
        <v>0</v>
      </c>
      <c r="M30" s="162">
        <f t="shared" si="6"/>
        <v>0</v>
      </c>
      <c r="N30" s="122"/>
    </row>
    <row r="31" spans="1:16" s="21" customFormat="1" ht="26.25" customHeight="1" x14ac:dyDescent="0.3">
      <c r="A31" s="717"/>
      <c r="B31" s="417" t="s">
        <v>7573</v>
      </c>
      <c r="C31" s="360">
        <f>SUM(C26:C30)</f>
        <v>115</v>
      </c>
      <c r="D31" s="346">
        <f>D29+D30</f>
        <v>55</v>
      </c>
      <c r="E31" s="360">
        <v>0</v>
      </c>
      <c r="F31" s="360">
        <f t="shared" ref="F31:M31" si="17">SUM(F26:F30)</f>
        <v>0</v>
      </c>
      <c r="G31" s="360">
        <f t="shared" si="17"/>
        <v>35</v>
      </c>
      <c r="H31" s="417">
        <f t="shared" si="17"/>
        <v>-80</v>
      </c>
      <c r="I31" s="360">
        <f t="shared" si="17"/>
        <v>-110.72</v>
      </c>
      <c r="J31" s="360">
        <f t="shared" si="17"/>
        <v>0</v>
      </c>
      <c r="K31" s="360">
        <f t="shared" si="17"/>
        <v>0</v>
      </c>
      <c r="L31" s="417">
        <f t="shared" si="17"/>
        <v>-110.72</v>
      </c>
      <c r="M31" s="418">
        <f t="shared" si="17"/>
        <v>-30.72</v>
      </c>
      <c r="N31" s="122"/>
    </row>
    <row r="32" spans="1:16" s="21" customFormat="1" ht="26.25" customHeight="1" x14ac:dyDescent="0.3">
      <c r="A32" s="715" t="s">
        <v>7574</v>
      </c>
      <c r="B32" s="615" t="s">
        <v>7575</v>
      </c>
      <c r="C32" s="616">
        <v>60</v>
      </c>
      <c r="D32" s="617">
        <v>0</v>
      </c>
      <c r="E32" s="616">
        <v>0</v>
      </c>
      <c r="F32" s="616">
        <v>0</v>
      </c>
      <c r="G32" s="616">
        <v>0</v>
      </c>
      <c r="H32" s="615">
        <f>G32+F32-C32</f>
        <v>-60</v>
      </c>
      <c r="I32" s="159">
        <f>SUMIFS('Cashbook ING'!$B:$B, 'Cashbook ING'!$A:$A, "BD_")</f>
        <v>0</v>
      </c>
      <c r="J32" s="159">
        <v>0</v>
      </c>
      <c r="K32" s="159">
        <v>0</v>
      </c>
      <c r="L32" s="191">
        <f>K32+J32+I32</f>
        <v>0</v>
      </c>
      <c r="M32" s="191">
        <f>L32-H32</f>
        <v>60</v>
      </c>
      <c r="N32" s="159"/>
      <c r="O32" s="159"/>
      <c r="P32" s="159"/>
    </row>
    <row r="33" spans="1:16" s="21" customFormat="1" ht="26.25" customHeight="1" x14ac:dyDescent="0.3">
      <c r="A33" s="716"/>
      <c r="B33" s="615" t="s">
        <v>7508</v>
      </c>
      <c r="C33" s="616">
        <v>25</v>
      </c>
      <c r="D33" s="617">
        <v>0</v>
      </c>
      <c r="E33" s="616">
        <v>0</v>
      </c>
      <c r="F33" s="616">
        <v>0</v>
      </c>
      <c r="G33" s="616">
        <v>0</v>
      </c>
      <c r="H33" s="615">
        <f t="shared" ref="H33:H36" si="18">G33+F33-C33</f>
        <v>-25</v>
      </c>
      <c r="I33" s="159">
        <f>SUMIFS('Cashbook ING'!$B:$B, 'Cashbook ING'!$A:$A, "ART_SipandPaint_Snacks")</f>
        <v>-43.85</v>
      </c>
      <c r="J33" s="159">
        <f>SUMIFS('Cashbook Wix'!$B$2:$B$7012,'Cashbook Wix'!$A$2:$A$7012,"BD_")</f>
        <v>0</v>
      </c>
      <c r="K33" s="159">
        <v>0</v>
      </c>
      <c r="L33" s="191">
        <f t="shared" ref="L33:L36" si="19">K33+J33+I33</f>
        <v>-43.85</v>
      </c>
      <c r="M33" s="191">
        <f t="shared" ref="M33:M36" si="20">L33-H33</f>
        <v>-18.850000000000001</v>
      </c>
      <c r="N33" s="159"/>
      <c r="O33" s="159"/>
      <c r="P33" s="159"/>
    </row>
    <row r="34" spans="1:16" s="21" customFormat="1" ht="26.25" customHeight="1" x14ac:dyDescent="0.3">
      <c r="A34" s="716"/>
      <c r="B34" s="615" t="s">
        <v>7536</v>
      </c>
      <c r="C34" s="616">
        <v>90</v>
      </c>
      <c r="D34" s="617">
        <v>0</v>
      </c>
      <c r="E34" s="616">
        <v>0</v>
      </c>
      <c r="F34" s="616">
        <v>0</v>
      </c>
      <c r="G34" s="616">
        <v>0</v>
      </c>
      <c r="H34" s="615">
        <f t="shared" si="18"/>
        <v>-90</v>
      </c>
      <c r="I34" s="159">
        <f>SUMIFS('Cashbook ING'!$B:$B, 'Cashbook ING'!$A:$A, "ART_SipandPaint_Supplies")</f>
        <v>-32.85</v>
      </c>
      <c r="J34" s="159">
        <f>SUMIFS('Cashbook Wix'!$B$2:$B$7012,'Cashbook Wix'!$A$2:$A$7012,"BD_")</f>
        <v>0</v>
      </c>
      <c r="K34" s="159">
        <v>0</v>
      </c>
      <c r="L34" s="191">
        <f t="shared" si="19"/>
        <v>-32.85</v>
      </c>
      <c r="M34" s="191">
        <f t="shared" si="20"/>
        <v>57.15</v>
      </c>
      <c r="N34" s="159"/>
      <c r="O34" s="159"/>
      <c r="P34" s="159"/>
    </row>
    <row r="35" spans="1:16" s="21" customFormat="1" ht="26.25" customHeight="1" x14ac:dyDescent="0.3">
      <c r="A35" s="716"/>
      <c r="B35" s="615" t="s">
        <v>7509</v>
      </c>
      <c r="C35" s="616">
        <v>0</v>
      </c>
      <c r="D35" s="617">
        <v>45</v>
      </c>
      <c r="E35" s="616">
        <v>4</v>
      </c>
      <c r="F35" s="616">
        <f>D35*E35</f>
        <v>180</v>
      </c>
      <c r="G35" s="616">
        <v>0</v>
      </c>
      <c r="H35" s="615">
        <f t="shared" si="18"/>
        <v>180</v>
      </c>
      <c r="I35" s="159">
        <f>SUMIFS('Cashbook ING'!$B:$B, 'Cashbook ING'!$A:$A, "BD_")</f>
        <v>0</v>
      </c>
      <c r="J35" s="159">
        <f>SUMIFS('Cashbook Wix'!$B$2:$B$7012,'Cashbook Wix'!$A$2:$A$7012,"ART_SipandPaint_Member")</f>
        <v>46.94</v>
      </c>
      <c r="K35" s="159">
        <v>0</v>
      </c>
      <c r="L35" s="191">
        <f t="shared" si="19"/>
        <v>46.94</v>
      </c>
      <c r="M35" s="191">
        <f t="shared" si="20"/>
        <v>-133.06</v>
      </c>
      <c r="N35" s="159"/>
      <c r="O35" s="159"/>
      <c r="P35" s="159"/>
    </row>
    <row r="36" spans="1:16" s="21" customFormat="1" ht="26.25" customHeight="1" x14ac:dyDescent="0.3">
      <c r="A36" s="716"/>
      <c r="B36" s="615" t="s">
        <v>7510</v>
      </c>
      <c r="C36" s="616">
        <v>0</v>
      </c>
      <c r="D36" s="617">
        <v>5</v>
      </c>
      <c r="E36" s="616">
        <v>6</v>
      </c>
      <c r="F36" s="616">
        <f>D36*E36</f>
        <v>30</v>
      </c>
      <c r="G36" s="616">
        <v>0</v>
      </c>
      <c r="H36" s="615">
        <f t="shared" si="18"/>
        <v>30</v>
      </c>
      <c r="I36" s="159">
        <f>SUMIFS('Cashbook ING'!$B:$B, 'Cashbook ING'!$A:$A, "BD_")</f>
        <v>0</v>
      </c>
      <c r="J36" s="159">
        <f>SUMIFS('Cashbook Wix'!$B$2:$B$7012,'Cashbook Wix'!$A$2:$A$7012,"ART_SipandPaint_NonMember")</f>
        <v>0</v>
      </c>
      <c r="K36" s="159">
        <v>0</v>
      </c>
      <c r="L36" s="191">
        <f t="shared" si="19"/>
        <v>0</v>
      </c>
      <c r="M36" s="191">
        <f t="shared" si="20"/>
        <v>-30</v>
      </c>
      <c r="N36" s="159"/>
      <c r="O36" s="159"/>
      <c r="P36" s="159"/>
    </row>
    <row r="37" spans="1:16" s="21" customFormat="1" ht="26.25" customHeight="1" x14ac:dyDescent="0.3">
      <c r="A37" s="717"/>
      <c r="B37" s="417" t="s">
        <v>7573</v>
      </c>
      <c r="C37" s="360">
        <f>C32</f>
        <v>60</v>
      </c>
      <c r="D37" s="632">
        <f t="shared" ref="D37:G37" si="21">D32</f>
        <v>0</v>
      </c>
      <c r="E37" s="360">
        <f t="shared" si="21"/>
        <v>0</v>
      </c>
      <c r="F37" s="360">
        <f t="shared" si="21"/>
        <v>0</v>
      </c>
      <c r="G37" s="360">
        <f t="shared" si="21"/>
        <v>0</v>
      </c>
      <c r="H37" s="417">
        <f t="shared" ref="H37:M37" si="22">SUM(H32:H36)</f>
        <v>35</v>
      </c>
      <c r="I37" s="339">
        <f t="shared" si="22"/>
        <v>-76.7</v>
      </c>
      <c r="J37" s="339">
        <f t="shared" si="22"/>
        <v>46.94</v>
      </c>
      <c r="K37" s="339">
        <f t="shared" si="22"/>
        <v>0</v>
      </c>
      <c r="L37" s="417">
        <f t="shared" si="22"/>
        <v>-29.760000000000005</v>
      </c>
      <c r="M37" s="418">
        <f t="shared" si="22"/>
        <v>-64.760000000000005</v>
      </c>
      <c r="N37" s="122"/>
    </row>
    <row r="38" spans="1:16" s="21" customFormat="1" ht="26.25" customHeight="1" x14ac:dyDescent="0.3">
      <c r="A38" s="716" t="s">
        <v>7576</v>
      </c>
      <c r="B38" s="191" t="s">
        <v>7577</v>
      </c>
      <c r="C38" s="159">
        <v>40</v>
      </c>
      <c r="D38" s="158">
        <v>0</v>
      </c>
      <c r="E38" s="159">
        <v>0</v>
      </c>
      <c r="F38" s="159">
        <v>0</v>
      </c>
      <c r="G38" s="159">
        <v>40</v>
      </c>
      <c r="H38" s="162">
        <f>G38+F38-C38</f>
        <v>0</v>
      </c>
      <c r="I38" s="160">
        <f>SUMIFS('Cashbook ING'!$B:$B, 'Cashbook ING'!$A:$A, "BD_")</f>
        <v>0</v>
      </c>
      <c r="J38" s="157">
        <f>SUMIFS('Cashbook Wix'!$B$2:$B$7012,'Cashbook Wix'!$A$2:$A$7012,"BD_")</f>
        <v>0</v>
      </c>
      <c r="K38" s="157">
        <v>0</v>
      </c>
      <c r="L38" s="162">
        <f t="shared" ref="L38:L41" si="23">K38+J38+I38</f>
        <v>0</v>
      </c>
      <c r="M38" s="584">
        <f t="shared" si="6"/>
        <v>0</v>
      </c>
      <c r="N38" s="122"/>
    </row>
    <row r="39" spans="1:16" s="21" customFormat="1" ht="26.25" customHeight="1" x14ac:dyDescent="0.3">
      <c r="A39" s="716"/>
      <c r="B39" s="191" t="s">
        <v>7565</v>
      </c>
      <c r="C39" s="159">
        <v>10</v>
      </c>
      <c r="D39" s="158">
        <v>0</v>
      </c>
      <c r="E39" s="159">
        <v>0</v>
      </c>
      <c r="F39" s="159">
        <v>0</v>
      </c>
      <c r="G39" s="159">
        <v>0</v>
      </c>
      <c r="H39" s="162">
        <f t="shared" ref="H39:H41" si="24">G39+F39-C39</f>
        <v>-10</v>
      </c>
      <c r="I39" s="160">
        <f>SUMIFS('Cashbook ING'!$B:$B, 'Cashbook ING'!$A:$A, "BD_")</f>
        <v>0</v>
      </c>
      <c r="J39" s="157">
        <f>SUMIFS('Cashbook Wix'!$B$2:$B$7012,'Cashbook Wix'!$A$2:$A$7012,"BD_")</f>
        <v>0</v>
      </c>
      <c r="K39" s="157">
        <v>0</v>
      </c>
      <c r="L39" s="162">
        <f t="shared" si="23"/>
        <v>0</v>
      </c>
      <c r="M39" s="584">
        <f t="shared" si="6"/>
        <v>10</v>
      </c>
      <c r="N39" s="122"/>
    </row>
    <row r="40" spans="1:16" s="21" customFormat="1" ht="26.25" customHeight="1" x14ac:dyDescent="0.3">
      <c r="A40" s="716"/>
      <c r="B40" s="191" t="s">
        <v>7509</v>
      </c>
      <c r="C40" s="159">
        <v>0</v>
      </c>
      <c r="D40" s="158">
        <v>0</v>
      </c>
      <c r="E40" s="159">
        <v>0</v>
      </c>
      <c r="F40" s="159">
        <v>0</v>
      </c>
      <c r="G40" s="159">
        <v>0</v>
      </c>
      <c r="H40" s="162">
        <f t="shared" si="24"/>
        <v>0</v>
      </c>
      <c r="I40" s="160">
        <f>SUMIFS('Cashbook ING'!$B:$B, 'Cashbook ING'!$A:$A, "BD_")</f>
        <v>0</v>
      </c>
      <c r="J40" s="157">
        <f>SUMIFS('Cashbook Wix'!$B$2:$B$7012,'Cashbook Wix'!$A$2:$A$7012,"BD_")</f>
        <v>0</v>
      </c>
      <c r="K40" s="157">
        <v>0</v>
      </c>
      <c r="L40" s="162">
        <f t="shared" si="23"/>
        <v>0</v>
      </c>
      <c r="M40" s="584">
        <f t="shared" si="6"/>
        <v>0</v>
      </c>
      <c r="N40" s="122"/>
    </row>
    <row r="41" spans="1:16" s="21" customFormat="1" ht="26.25" customHeight="1" x14ac:dyDescent="0.3">
      <c r="A41" s="716"/>
      <c r="B41" s="191" t="s">
        <v>7510</v>
      </c>
      <c r="C41" s="159">
        <v>0</v>
      </c>
      <c r="D41" s="158">
        <v>0</v>
      </c>
      <c r="E41" s="159">
        <v>0</v>
      </c>
      <c r="F41" s="159">
        <v>0</v>
      </c>
      <c r="G41" s="159">
        <v>0</v>
      </c>
      <c r="H41" s="162">
        <f t="shared" si="24"/>
        <v>0</v>
      </c>
      <c r="I41" s="160">
        <f>SUMIFS('Cashbook ING'!$B:$B, 'Cashbook ING'!$A:$A, "BD_")</f>
        <v>0</v>
      </c>
      <c r="J41" s="157">
        <f>SUMIFS('Cashbook Wix'!$B$2:$B$7012,'Cashbook Wix'!$A$2:$A$7012,"BD_")</f>
        <v>0</v>
      </c>
      <c r="K41" s="157">
        <v>0</v>
      </c>
      <c r="L41" s="162">
        <f t="shared" si="23"/>
        <v>0</v>
      </c>
      <c r="M41" s="584">
        <f t="shared" si="6"/>
        <v>0</v>
      </c>
      <c r="N41" s="122"/>
    </row>
    <row r="42" spans="1:16" s="21" customFormat="1" ht="26.25" customHeight="1" x14ac:dyDescent="0.3">
      <c r="A42" s="717"/>
      <c r="B42" s="347" t="s">
        <v>7511</v>
      </c>
      <c r="C42" s="345">
        <f>SUM(C38:C41)</f>
        <v>50</v>
      </c>
      <c r="D42" s="346">
        <v>0</v>
      </c>
      <c r="E42" s="345">
        <v>0</v>
      </c>
      <c r="F42" s="345">
        <f t="shared" ref="F42:L42" si="25">SUM(F38:F41)</f>
        <v>0</v>
      </c>
      <c r="G42" s="345">
        <f t="shared" si="25"/>
        <v>40</v>
      </c>
      <c r="H42" s="417">
        <f>SUM(H38:H41)</f>
        <v>-10</v>
      </c>
      <c r="I42" s="565">
        <f>SUM(I38:I41)</f>
        <v>0</v>
      </c>
      <c r="J42" s="360">
        <f t="shared" si="25"/>
        <v>0</v>
      </c>
      <c r="K42" s="360">
        <f t="shared" si="25"/>
        <v>0</v>
      </c>
      <c r="L42" s="417">
        <f t="shared" si="25"/>
        <v>0</v>
      </c>
      <c r="M42" s="585">
        <f>SUM(M38:M41)</f>
        <v>10</v>
      </c>
      <c r="N42" s="122"/>
    </row>
    <row r="43" spans="1:16" s="21" customFormat="1" ht="26.25" customHeight="1" x14ac:dyDescent="0.3">
      <c r="A43" s="715" t="s">
        <v>7420</v>
      </c>
      <c r="B43" s="614" t="s">
        <v>7565</v>
      </c>
      <c r="C43" s="503">
        <v>100</v>
      </c>
      <c r="D43" s="620">
        <v>0</v>
      </c>
      <c r="E43" s="155">
        <v>0</v>
      </c>
      <c r="F43" s="155">
        <v>0</v>
      </c>
      <c r="G43" s="155">
        <v>50</v>
      </c>
      <c r="H43" s="161">
        <f>G43+F43-C43</f>
        <v>-50</v>
      </c>
      <c r="I43" s="156">
        <f>SUMIFS('Cashbook ING'!$B:$B, 'Cashbook ING'!$A:$A, "BD_")</f>
        <v>0</v>
      </c>
      <c r="J43" s="153">
        <f>SUMIFS('Cashbook Wix'!$B$2:$B$7012,'Cashbook Wix'!$A$2:$A$7012,"BD_")</f>
        <v>0</v>
      </c>
      <c r="K43" s="153">
        <v>0</v>
      </c>
      <c r="L43" s="161">
        <f>K43+J43+I43</f>
        <v>0</v>
      </c>
      <c r="M43" s="583">
        <f>L43-H43</f>
        <v>50</v>
      </c>
      <c r="N43" s="122"/>
    </row>
    <row r="44" spans="1:16" s="21" customFormat="1" ht="26.25" customHeight="1" x14ac:dyDescent="0.3">
      <c r="A44" s="716"/>
      <c r="B44" s="615" t="s">
        <v>7578</v>
      </c>
      <c r="C44" s="616">
        <v>350</v>
      </c>
      <c r="D44" s="617">
        <v>0</v>
      </c>
      <c r="E44" s="159">
        <v>0</v>
      </c>
      <c r="F44" s="159">
        <v>0</v>
      </c>
      <c r="G44" s="159">
        <v>200</v>
      </c>
      <c r="H44" s="162">
        <f t="shared" ref="H44:H49" si="26">G44+F44-C44</f>
        <v>-150</v>
      </c>
      <c r="I44" s="160">
        <f>SUMIFS('Cashbook ING'!$B:$B, 'Cashbook ING'!$A:$A, "BD_Boozy_Food&amp;Drinks")</f>
        <v>-241.20999999999998</v>
      </c>
      <c r="J44" s="157">
        <f>SUMIFS('Cashbook Wix'!$B$2:$B$7012,'Cashbook Wix'!$A$2:$A$7012,"BD_")</f>
        <v>0</v>
      </c>
      <c r="K44" s="157">
        <v>0</v>
      </c>
      <c r="L44" s="162">
        <f t="shared" ref="L44:L49" si="27">K44+J44+I44</f>
        <v>-241.20999999999998</v>
      </c>
      <c r="M44" s="584">
        <f t="shared" ref="M44:M49" si="28">L44-H44</f>
        <v>-91.20999999999998</v>
      </c>
      <c r="N44" s="122"/>
    </row>
    <row r="45" spans="1:16" s="21" customFormat="1" ht="26.25" customHeight="1" x14ac:dyDescent="0.3">
      <c r="A45" s="716"/>
      <c r="B45" s="615" t="s">
        <v>7544</v>
      </c>
      <c r="C45" s="616">
        <v>45</v>
      </c>
      <c r="D45" s="617">
        <v>0</v>
      </c>
      <c r="E45" s="159">
        <v>0</v>
      </c>
      <c r="F45" s="159">
        <v>0</v>
      </c>
      <c r="G45" s="159">
        <v>0</v>
      </c>
      <c r="H45" s="162">
        <f t="shared" si="26"/>
        <v>-45</v>
      </c>
      <c r="I45" s="160">
        <f>SUMIFS('Cashbook ING'!$B:$B, 'Cashbook ING'!$A:$A, "BD_")</f>
        <v>0</v>
      </c>
      <c r="J45" s="157">
        <f>SUMIFS('Cashbook Wix'!$B$2:$B$7012,'Cashbook Wix'!$A$2:$A$7012,"BD_")</f>
        <v>0</v>
      </c>
      <c r="K45" s="157">
        <v>0</v>
      </c>
      <c r="L45" s="162">
        <f t="shared" si="27"/>
        <v>0</v>
      </c>
      <c r="M45" s="584">
        <f t="shared" si="28"/>
        <v>45</v>
      </c>
      <c r="N45" s="122"/>
    </row>
    <row r="46" spans="1:16" s="21" customFormat="1" ht="26.25" customHeight="1" x14ac:dyDescent="0.3">
      <c r="A46" s="716"/>
      <c r="B46" s="191" t="s">
        <v>7579</v>
      </c>
      <c r="C46" s="159">
        <v>0</v>
      </c>
      <c r="D46" s="158">
        <v>36</v>
      </c>
      <c r="E46" s="159">
        <v>4.5</v>
      </c>
      <c r="F46" s="159">
        <f>D46*E46</f>
        <v>162</v>
      </c>
      <c r="G46" s="159">
        <v>0</v>
      </c>
      <c r="H46" s="162">
        <f t="shared" si="26"/>
        <v>162</v>
      </c>
      <c r="I46" s="160">
        <f>SUMIFS('Cashbook ING'!$B:$B, 'Cashbook ING'!$A:$A, "BD_")</f>
        <v>0</v>
      </c>
      <c r="J46" s="157">
        <f>SUMIFS('Cashbook Wix'!$B$2:$B$7012,'Cashbook Wix'!$A$2:$A$7012,"BD_")</f>
        <v>0</v>
      </c>
      <c r="K46" s="157">
        <v>0</v>
      </c>
      <c r="L46" s="162">
        <f t="shared" si="27"/>
        <v>0</v>
      </c>
      <c r="M46" s="584">
        <f t="shared" si="28"/>
        <v>-162</v>
      </c>
      <c r="N46" s="122"/>
    </row>
    <row r="47" spans="1:16" s="21" customFormat="1" ht="26.25" customHeight="1" x14ac:dyDescent="0.3">
      <c r="A47" s="716"/>
      <c r="B47" s="191" t="s">
        <v>7580</v>
      </c>
      <c r="C47" s="159">
        <v>0</v>
      </c>
      <c r="D47" s="158">
        <v>4</v>
      </c>
      <c r="E47" s="532">
        <v>6.5</v>
      </c>
      <c r="F47" s="159">
        <f t="shared" ref="F47:F49" si="29">D47*E47</f>
        <v>26</v>
      </c>
      <c r="G47" s="159">
        <v>0</v>
      </c>
      <c r="H47" s="162">
        <f t="shared" si="26"/>
        <v>26</v>
      </c>
      <c r="I47" s="160">
        <f>SUMIFS('Cashbook ING'!$B:$B, 'Cashbook ING'!$A:$A, "BD_")</f>
        <v>0</v>
      </c>
      <c r="J47" s="157">
        <f>SUMIFS('Cashbook Wix'!$B$2:$B$7012,'Cashbook Wix'!$A$2:$A$7012,"BD_")</f>
        <v>0</v>
      </c>
      <c r="K47" s="157">
        <v>0</v>
      </c>
      <c r="L47" s="162">
        <f t="shared" si="27"/>
        <v>0</v>
      </c>
      <c r="M47" s="584">
        <f t="shared" si="28"/>
        <v>-26</v>
      </c>
      <c r="N47" s="122"/>
    </row>
    <row r="48" spans="1:16" s="21" customFormat="1" ht="26.25" customHeight="1" x14ac:dyDescent="0.3">
      <c r="A48" s="716"/>
      <c r="B48" s="191" t="s">
        <v>7581</v>
      </c>
      <c r="C48" s="159">
        <v>0</v>
      </c>
      <c r="D48" s="158">
        <v>45</v>
      </c>
      <c r="E48" s="159">
        <v>2.5</v>
      </c>
      <c r="F48" s="159">
        <f t="shared" si="29"/>
        <v>112.5</v>
      </c>
      <c r="G48" s="159">
        <v>0</v>
      </c>
      <c r="H48" s="162">
        <f t="shared" si="26"/>
        <v>112.5</v>
      </c>
      <c r="I48" s="160">
        <f>SUMIFS('Cashbook ING'!$B:$B, 'Cashbook ING'!$A:$A, "BD_")</f>
        <v>0</v>
      </c>
      <c r="J48" s="157">
        <f>SUMIFS('Cashbook Wix'!$B$2:$B$7012,'Cashbook Wix'!$A$2:$A$7012,"BD_")</f>
        <v>0</v>
      </c>
      <c r="K48" s="157">
        <v>0</v>
      </c>
      <c r="L48" s="162">
        <f t="shared" si="27"/>
        <v>0</v>
      </c>
      <c r="M48" s="584">
        <f t="shared" si="28"/>
        <v>-112.5</v>
      </c>
      <c r="N48" s="122"/>
    </row>
    <row r="49" spans="1:14" s="21" customFormat="1" ht="26.25" customHeight="1" x14ac:dyDescent="0.3">
      <c r="A49" s="716"/>
      <c r="B49" s="191" t="s">
        <v>7582</v>
      </c>
      <c r="C49" s="159">
        <v>0</v>
      </c>
      <c r="D49" s="158">
        <v>5</v>
      </c>
      <c r="E49" s="159">
        <v>4</v>
      </c>
      <c r="F49" s="159">
        <f t="shared" si="29"/>
        <v>20</v>
      </c>
      <c r="G49" s="159">
        <v>0</v>
      </c>
      <c r="H49" s="162">
        <f t="shared" si="26"/>
        <v>20</v>
      </c>
      <c r="I49" s="160">
        <f>SUMIFS('Cashbook ING'!$B:$B, 'Cashbook ING'!$A:$A, "BD_")</f>
        <v>0</v>
      </c>
      <c r="J49" s="157">
        <f>SUMIFS('Cashbook Wix'!$B$2:$B$7012,'Cashbook Wix'!$A$2:$A$7012,"BD_")</f>
        <v>0</v>
      </c>
      <c r="K49" s="157">
        <v>0</v>
      </c>
      <c r="L49" s="162">
        <f t="shared" si="27"/>
        <v>0</v>
      </c>
      <c r="M49" s="584">
        <f t="shared" si="28"/>
        <v>-20</v>
      </c>
      <c r="N49" s="122"/>
    </row>
    <row r="50" spans="1:14" s="21" customFormat="1" ht="26.25" customHeight="1" x14ac:dyDescent="0.3">
      <c r="A50" s="717"/>
      <c r="B50" s="347" t="s">
        <v>7511</v>
      </c>
      <c r="C50" s="345">
        <f>SUM(C43:C49)</f>
        <v>495</v>
      </c>
      <c r="D50" s="346">
        <f>SUM(D43:D49)</f>
        <v>90</v>
      </c>
      <c r="E50" s="345">
        <f>SUM(E43:E49)</f>
        <v>17.5</v>
      </c>
      <c r="F50" s="345">
        <f t="shared" ref="F50:L50" si="30">SUM(F43:F49)</f>
        <v>320.5</v>
      </c>
      <c r="G50" s="345">
        <f t="shared" si="30"/>
        <v>250</v>
      </c>
      <c r="H50" s="417">
        <f>SUM(H43:H49)</f>
        <v>75.5</v>
      </c>
      <c r="I50" s="565">
        <f>SUM(I43:I49)</f>
        <v>-241.20999999999998</v>
      </c>
      <c r="J50" s="360">
        <f t="shared" si="30"/>
        <v>0</v>
      </c>
      <c r="K50" s="360">
        <f t="shared" si="30"/>
        <v>0</v>
      </c>
      <c r="L50" s="417">
        <f t="shared" si="30"/>
        <v>-241.20999999999998</v>
      </c>
      <c r="M50" s="585">
        <f>SUM(M43:M49)</f>
        <v>-316.70999999999998</v>
      </c>
      <c r="N50" s="122"/>
    </row>
    <row r="51" spans="1:14" s="21" customFormat="1" ht="26.25" customHeight="1" x14ac:dyDescent="0.3">
      <c r="A51" s="715" t="s">
        <v>7422</v>
      </c>
      <c r="B51" s="191" t="s">
        <v>7520</v>
      </c>
      <c r="C51" s="159">
        <v>50</v>
      </c>
      <c r="D51" s="158">
        <v>0</v>
      </c>
      <c r="E51" s="159">
        <v>0</v>
      </c>
      <c r="F51" s="159">
        <v>0</v>
      </c>
      <c r="G51" s="159">
        <v>0</v>
      </c>
      <c r="H51" s="162">
        <f>F51+G51-C51</f>
        <v>-50</v>
      </c>
      <c r="I51" s="160">
        <f>SUM(C51:H51)</f>
        <v>0</v>
      </c>
      <c r="J51" s="157">
        <f>SUMIFS('Cashbook Wix'!$B$2:$B$7012,'Cashbook Wix'!$A$2:$A$7012,"BD_")</f>
        <v>0</v>
      </c>
      <c r="K51" s="157">
        <v>0</v>
      </c>
      <c r="L51" s="162">
        <f>K51+J51+I51</f>
        <v>0</v>
      </c>
      <c r="M51" s="162">
        <f>L51-H51</f>
        <v>50</v>
      </c>
      <c r="N51" s="122"/>
    </row>
    <row r="52" spans="1:14" s="21" customFormat="1" ht="26.25" customHeight="1" thickBot="1" x14ac:dyDescent="0.35">
      <c r="A52" s="718"/>
      <c r="B52" s="417" t="s">
        <v>7573</v>
      </c>
      <c r="C52" s="360">
        <f>SUM(C51)</f>
        <v>50</v>
      </c>
      <c r="D52" s="346">
        <v>0</v>
      </c>
      <c r="E52" s="360">
        <v>0</v>
      </c>
      <c r="F52" s="360">
        <v>0</v>
      </c>
      <c r="G52" s="360">
        <v>0</v>
      </c>
      <c r="H52" s="417">
        <f>SUM(H51)</f>
        <v>-50</v>
      </c>
      <c r="I52" s="360">
        <f>I51</f>
        <v>0</v>
      </c>
      <c r="J52" s="360">
        <f>J51</f>
        <v>0</v>
      </c>
      <c r="K52" s="360">
        <f>K51</f>
        <v>0</v>
      </c>
      <c r="L52" s="417">
        <f>L51</f>
        <v>0</v>
      </c>
      <c r="M52" s="417">
        <f>SUM(M51:M51)</f>
        <v>50</v>
      </c>
      <c r="N52" s="122"/>
    </row>
    <row r="53" spans="1:14" s="183" customFormat="1" ht="26.25" customHeight="1" thickBot="1" x14ac:dyDescent="0.4">
      <c r="A53" s="184"/>
      <c r="B53" s="481" t="s">
        <v>7443</v>
      </c>
      <c r="C53" s="419">
        <f>SUM(C7+C42+C25+C50+C31+C52+C20)</f>
        <v>1922</v>
      </c>
      <c r="D53" s="420">
        <f>SUM(D7+D15+D31+D52+D20)</f>
        <v>293</v>
      </c>
      <c r="E53" s="419">
        <f>SUM(E7+E15+E31+E52+E20)</f>
        <v>0</v>
      </c>
      <c r="F53" s="419">
        <f>SUM(F7+F25+F42+F50+F31+F52+F20)</f>
        <v>976</v>
      </c>
      <c r="G53" s="419">
        <f>SUM(G7+G15+G31+G52+G20)</f>
        <v>445</v>
      </c>
      <c r="H53" s="419">
        <f>SUM(H7+H25+H50+H42+H31+H52+H20)</f>
        <v>-131</v>
      </c>
      <c r="I53" s="419">
        <f>SUM(I7+I31+I52+I20)</f>
        <v>-808.27</v>
      </c>
      <c r="J53" s="419">
        <f>SUM(J7+J31+J52+J20)</f>
        <v>331.09</v>
      </c>
      <c r="K53" s="419">
        <f>SUM(K7+K31+K52+K20)</f>
        <v>0</v>
      </c>
      <c r="L53" s="419">
        <f>SUM(L7+L31+L52+L20)</f>
        <v>-477.18</v>
      </c>
      <c r="M53" s="482">
        <f>SUM(M7+M31+M52+M20)</f>
        <v>-329.68000000000006</v>
      </c>
    </row>
    <row r="56" spans="1:14" ht="26.25" customHeight="1" x14ac:dyDescent="0.3">
      <c r="B56" s="124"/>
    </row>
  </sheetData>
  <mergeCells count="13">
    <mergeCell ref="I1:M1"/>
    <mergeCell ref="A8:A15"/>
    <mergeCell ref="A1:A2"/>
    <mergeCell ref="C1:H1"/>
    <mergeCell ref="B1:B2"/>
    <mergeCell ref="A43:A50"/>
    <mergeCell ref="A51:A52"/>
    <mergeCell ref="A21:A25"/>
    <mergeCell ref="A26:A31"/>
    <mergeCell ref="A3:A7"/>
    <mergeCell ref="A16:A20"/>
    <mergeCell ref="A32:A37"/>
    <mergeCell ref="A38:A42"/>
  </mergeCells>
  <conditionalFormatting sqref="A1:C1 I1:M1 A2 H2 L2:M2 D3:F14 N37:N52 B38:G46 B47:D47 F47:G49 B48:E49 B50:G51">
    <cfRule type="cellIs" dxfId="44" priority="15" operator="lessThan">
      <formula>0</formula>
    </cfRule>
  </conditionalFormatting>
  <conditionalFormatting sqref="B3:B6 N15:N31 B21:G30">
    <cfRule type="cellIs" dxfId="43" priority="30" operator="lessThan">
      <formula>0</formula>
    </cfRule>
  </conditionalFormatting>
  <conditionalFormatting sqref="B13:B14">
    <cfRule type="cellIs" dxfId="42" priority="65" operator="lessThan">
      <formula>0</formula>
    </cfRule>
  </conditionalFormatting>
  <conditionalFormatting sqref="B32:P36">
    <cfRule type="cellIs" dxfId="41" priority="1" operator="lessThan">
      <formula>0</formula>
    </cfRule>
  </conditionalFormatting>
  <conditionalFormatting sqref="N7">
    <cfRule type="cellIs" dxfId="40" priority="16" operator="lessThan">
      <formula>0</formula>
    </cfRule>
  </conditionalFormatting>
  <pageMargins left="0.7" right="0.7" top="0.78740157499999996" bottom="0.78740157499999996"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sheetPr>
  <dimension ref="A1:AB950"/>
  <sheetViews>
    <sheetView zoomScale="61" zoomScaleNormal="48" zoomScalePageLayoutView="48" workbookViewId="0">
      <pane xSplit="1" ySplit="2" topLeftCell="B6" activePane="bottomRight" state="frozen"/>
      <selection pane="topRight" activeCell="B1" sqref="B1"/>
      <selection pane="bottomLeft" activeCell="A3" sqref="A3"/>
      <selection pane="bottomRight" activeCell="A42" sqref="A42:A49"/>
    </sheetView>
  </sheetViews>
  <sheetFormatPr baseColWidth="10" defaultColWidth="14.5" defaultRowHeight="15" x14ac:dyDescent="0.2"/>
  <cols>
    <col min="1" max="1" width="50.33203125" style="4" customWidth="1"/>
    <col min="2" max="2" width="44.1640625" style="4" customWidth="1"/>
    <col min="3" max="3" width="27.6640625" style="4" customWidth="1"/>
    <col min="4" max="4" width="21.6640625" style="4" customWidth="1"/>
    <col min="5" max="13" width="27.6640625" style="4" customWidth="1"/>
    <col min="14" max="14" width="25.33203125" style="4" customWidth="1"/>
    <col min="15" max="15" width="23.5" style="4" customWidth="1"/>
    <col min="16" max="16384" width="14.5" style="4"/>
  </cols>
  <sheetData>
    <row r="1" spans="1:28" ht="30" customHeight="1" x14ac:dyDescent="0.25">
      <c r="A1" s="677" t="s">
        <v>7347</v>
      </c>
      <c r="B1" s="676" t="s">
        <v>348</v>
      </c>
      <c r="C1" s="674" t="s">
        <v>7348</v>
      </c>
      <c r="D1" s="674"/>
      <c r="E1" s="674"/>
      <c r="F1" s="674"/>
      <c r="G1" s="674"/>
      <c r="H1" s="674"/>
      <c r="I1" s="675" t="s">
        <v>7503</v>
      </c>
      <c r="J1" s="675"/>
      <c r="K1" s="675"/>
      <c r="L1" s="675"/>
      <c r="M1" s="675" t="s">
        <v>7459</v>
      </c>
      <c r="N1" s="5"/>
      <c r="O1" s="5"/>
      <c r="P1" s="5"/>
      <c r="Q1" s="5"/>
      <c r="R1" s="5"/>
      <c r="S1" s="5"/>
      <c r="T1" s="5"/>
      <c r="U1" s="5"/>
      <c r="V1" s="5"/>
      <c r="W1" s="5"/>
      <c r="X1" s="5"/>
      <c r="Y1" s="5"/>
      <c r="Z1" s="5"/>
      <c r="AA1" s="5"/>
      <c r="AB1" s="5"/>
    </row>
    <row r="2" spans="1:28" ht="30" customHeight="1" x14ac:dyDescent="0.25">
      <c r="A2" s="677"/>
      <c r="B2" s="701"/>
      <c r="C2" s="314" t="s">
        <v>7350</v>
      </c>
      <c r="D2" s="315" t="s">
        <v>7562</v>
      </c>
      <c r="E2" s="316" t="s">
        <v>7563</v>
      </c>
      <c r="F2" s="317" t="s">
        <v>7353</v>
      </c>
      <c r="G2" s="318" t="s">
        <v>7458</v>
      </c>
      <c r="H2" s="308" t="s">
        <v>7355</v>
      </c>
      <c r="I2" s="309" t="s">
        <v>7350</v>
      </c>
      <c r="J2" s="310" t="s">
        <v>7353</v>
      </c>
      <c r="K2" s="313" t="s">
        <v>7458</v>
      </c>
      <c r="L2" s="311" t="s">
        <v>7355</v>
      </c>
      <c r="M2" s="312"/>
      <c r="N2" s="5"/>
      <c r="O2" s="5"/>
      <c r="P2" s="5"/>
      <c r="Q2" s="5"/>
      <c r="R2" s="5"/>
      <c r="S2" s="5"/>
      <c r="T2" s="5"/>
      <c r="U2" s="5"/>
      <c r="V2" s="5"/>
      <c r="W2" s="5"/>
      <c r="X2" s="5"/>
      <c r="Y2" s="5"/>
      <c r="Z2" s="5"/>
      <c r="AA2" s="5"/>
      <c r="AB2" s="5"/>
    </row>
    <row r="3" spans="1:28" ht="30" customHeight="1" x14ac:dyDescent="0.3">
      <c r="A3" s="729" t="s">
        <v>7583</v>
      </c>
      <c r="B3" s="523" t="s">
        <v>7535</v>
      </c>
      <c r="C3" s="432">
        <v>700</v>
      </c>
      <c r="D3" s="149">
        <v>0</v>
      </c>
      <c r="E3" s="148">
        <v>0</v>
      </c>
      <c r="F3" s="148">
        <v>0</v>
      </c>
      <c r="G3" s="148">
        <v>0</v>
      </c>
      <c r="H3" s="175">
        <f t="shared" ref="H3:H7" si="0" xml:space="preserve"> F3+G3-C3</f>
        <v>-700</v>
      </c>
      <c r="I3" s="148">
        <f>SUMIFS('Cashbook ING'!$B:$B, 'Cashbook ING'!$A:$A, "PT_Transition_Drinks")</f>
        <v>-700</v>
      </c>
      <c r="J3" s="148">
        <v>0</v>
      </c>
      <c r="K3" s="148">
        <v>0</v>
      </c>
      <c r="L3" s="175">
        <f>J3+K3+I3</f>
        <v>-700</v>
      </c>
      <c r="M3" s="176">
        <f t="shared" ref="M3:M48" si="1">L3-H3</f>
        <v>0</v>
      </c>
      <c r="N3" s="5"/>
      <c r="O3" s="5"/>
      <c r="P3" s="5"/>
      <c r="Q3" s="5"/>
      <c r="R3" s="5"/>
      <c r="S3" s="5"/>
      <c r="T3" s="5"/>
      <c r="U3" s="5"/>
      <c r="V3" s="5"/>
      <c r="W3" s="5"/>
      <c r="X3" s="5"/>
      <c r="Y3" s="5"/>
      <c r="Z3" s="5"/>
      <c r="AA3" s="5"/>
      <c r="AB3" s="5"/>
    </row>
    <row r="4" spans="1:28" ht="30" customHeight="1" x14ac:dyDescent="0.3">
      <c r="A4" s="729"/>
      <c r="B4" s="175" t="s">
        <v>7584</v>
      </c>
      <c r="C4" s="148">
        <v>250</v>
      </c>
      <c r="D4" s="149">
        <v>0</v>
      </c>
      <c r="E4" s="148">
        <v>0</v>
      </c>
      <c r="F4" s="148">
        <v>0</v>
      </c>
      <c r="G4" s="148">
        <v>0</v>
      </c>
      <c r="H4" s="175">
        <f t="shared" si="0"/>
        <v>-250</v>
      </c>
      <c r="I4" s="432">
        <f>SUMIFS('Cashbook ING'!$B:$B, 'Cashbook ING'!$A:$A, "PT_Transition_DJ ")</f>
        <v>-250</v>
      </c>
      <c r="J4" s="148">
        <v>0</v>
      </c>
      <c r="K4" s="148">
        <v>0</v>
      </c>
      <c r="L4" s="175">
        <f>J4+K4+I4</f>
        <v>-250</v>
      </c>
      <c r="M4" s="176">
        <f t="shared" si="1"/>
        <v>0</v>
      </c>
      <c r="N4" s="5"/>
      <c r="O4" s="5"/>
      <c r="P4" s="5"/>
      <c r="Q4" s="5"/>
      <c r="R4" s="5"/>
      <c r="S4" s="5"/>
      <c r="T4" s="5"/>
      <c r="U4" s="5"/>
      <c r="V4" s="5"/>
      <c r="W4" s="5"/>
      <c r="X4" s="5"/>
      <c r="Y4" s="5"/>
      <c r="Z4" s="5"/>
      <c r="AA4" s="5"/>
      <c r="AB4" s="5"/>
    </row>
    <row r="5" spans="1:28" ht="30" customHeight="1" x14ac:dyDescent="0.3">
      <c r="A5" s="729"/>
      <c r="B5" s="175" t="s">
        <v>7538</v>
      </c>
      <c r="C5" s="148">
        <v>15</v>
      </c>
      <c r="D5" s="149">
        <v>0</v>
      </c>
      <c r="E5" s="148">
        <v>0</v>
      </c>
      <c r="F5" s="148">
        <v>0</v>
      </c>
      <c r="G5" s="148">
        <v>0</v>
      </c>
      <c r="H5" s="175">
        <f t="shared" si="0"/>
        <v>-15</v>
      </c>
      <c r="I5" s="432">
        <f>SUMIFS('Cashbook ING'!$B:$B, 'Cashbook ING'!$A:$A, "PT_Transition_Decoration")</f>
        <v>-17.440000000000001</v>
      </c>
      <c r="J5" s="148">
        <v>0</v>
      </c>
      <c r="K5" s="148">
        <v>0</v>
      </c>
      <c r="L5" s="175">
        <f>J5+K5+I5</f>
        <v>-17.440000000000001</v>
      </c>
      <c r="M5" s="176">
        <f t="shared" si="1"/>
        <v>-2.4400000000000013</v>
      </c>
      <c r="N5" s="5"/>
      <c r="O5" s="5"/>
      <c r="P5" s="5"/>
      <c r="Q5" s="5"/>
      <c r="R5" s="5"/>
      <c r="S5" s="5"/>
      <c r="T5" s="5"/>
      <c r="U5" s="5"/>
      <c r="V5" s="5"/>
      <c r="W5" s="5"/>
      <c r="X5" s="5"/>
      <c r="Y5" s="5"/>
      <c r="Z5" s="5"/>
      <c r="AA5" s="5"/>
      <c r="AB5" s="5"/>
    </row>
    <row r="6" spans="1:28" ht="30" customHeight="1" x14ac:dyDescent="0.3">
      <c r="A6" s="729"/>
      <c r="B6" s="175" t="s">
        <v>7509</v>
      </c>
      <c r="C6" s="148">
        <v>0</v>
      </c>
      <c r="D6" s="149">
        <v>240</v>
      </c>
      <c r="E6" s="148">
        <v>6.5</v>
      </c>
      <c r="F6" s="148">
        <f>D6*E6</f>
        <v>1560</v>
      </c>
      <c r="G6" s="148">
        <v>0</v>
      </c>
      <c r="H6" s="171">
        <f t="shared" si="0"/>
        <v>1560</v>
      </c>
      <c r="I6" s="148">
        <v>0</v>
      </c>
      <c r="J6" s="148">
        <f>SUMIFS('Cashbook Wix'!$B$2:$B$7012,'Cashbook Wix'!$A$2:$A$7012,"PT_Transition_Member")</f>
        <v>1233.2599999999995</v>
      </c>
      <c r="K6" s="148">
        <v>0</v>
      </c>
      <c r="L6" s="175">
        <f t="shared" ref="L6:L7" si="2">J6+K6+I6</f>
        <v>1233.2599999999995</v>
      </c>
      <c r="M6" s="176">
        <f t="shared" si="1"/>
        <v>-326.74000000000046</v>
      </c>
      <c r="N6" s="5"/>
      <c r="O6" s="5"/>
      <c r="P6" s="5"/>
      <c r="Q6" s="5"/>
      <c r="R6" s="5"/>
      <c r="S6" s="5"/>
      <c r="T6" s="5"/>
      <c r="U6" s="5"/>
      <c r="V6" s="5"/>
      <c r="W6" s="5"/>
      <c r="X6" s="5"/>
      <c r="Y6" s="5"/>
      <c r="Z6" s="5"/>
      <c r="AA6" s="5"/>
      <c r="AB6" s="5"/>
    </row>
    <row r="7" spans="1:28" ht="30" customHeight="1" x14ac:dyDescent="0.3">
      <c r="A7" s="729"/>
      <c r="B7" s="175" t="s">
        <v>7510</v>
      </c>
      <c r="C7" s="148">
        <v>0</v>
      </c>
      <c r="D7" s="149">
        <v>20</v>
      </c>
      <c r="E7" s="148">
        <v>8.5</v>
      </c>
      <c r="F7" s="148">
        <f>D7*E7</f>
        <v>170</v>
      </c>
      <c r="G7" s="148">
        <v>0</v>
      </c>
      <c r="H7" s="171">
        <f t="shared" si="0"/>
        <v>170</v>
      </c>
      <c r="I7" s="148">
        <v>0</v>
      </c>
      <c r="J7" s="148">
        <f>SUMIFS('Cashbook Wix'!$B$2:$B$7012,'Cashbook Wix'!$A$2:$A$7012,"PT_Transition_NonMember")</f>
        <v>491.87000000000012</v>
      </c>
      <c r="K7" s="148">
        <v>0</v>
      </c>
      <c r="L7" s="175">
        <f t="shared" si="2"/>
        <v>491.87000000000012</v>
      </c>
      <c r="M7" s="176">
        <f t="shared" si="1"/>
        <v>321.87000000000012</v>
      </c>
      <c r="N7" s="5"/>
      <c r="O7" s="5"/>
      <c r="P7" s="5"/>
      <c r="Q7" s="5"/>
      <c r="R7" s="5"/>
      <c r="S7" s="5"/>
      <c r="T7" s="5"/>
      <c r="U7" s="5"/>
      <c r="V7" s="5"/>
      <c r="W7" s="5"/>
      <c r="X7" s="5"/>
      <c r="Y7" s="5"/>
      <c r="Z7" s="5"/>
      <c r="AA7" s="5"/>
      <c r="AB7" s="5"/>
    </row>
    <row r="8" spans="1:28" ht="30" customHeight="1" x14ac:dyDescent="0.3">
      <c r="A8" s="729"/>
      <c r="B8" s="324" t="s">
        <v>7511</v>
      </c>
      <c r="C8" s="320">
        <f>SUM(C3:C7)</f>
        <v>965</v>
      </c>
      <c r="D8" s="321">
        <f>SUM(D3:D7)</f>
        <v>260</v>
      </c>
      <c r="E8" s="320">
        <v>0</v>
      </c>
      <c r="F8" s="320">
        <f>SUM(F3:F7)</f>
        <v>1730</v>
      </c>
      <c r="G8" s="320">
        <v>0</v>
      </c>
      <c r="H8" s="324">
        <f t="shared" ref="H8:K8" si="3">SUM(H3:H7)</f>
        <v>765</v>
      </c>
      <c r="I8" s="320">
        <f>SUM(I3:I7)</f>
        <v>-967.44</v>
      </c>
      <c r="J8" s="320">
        <f>SUM(J3:J7)</f>
        <v>1725.1299999999997</v>
      </c>
      <c r="K8" s="320">
        <f t="shared" si="3"/>
        <v>0</v>
      </c>
      <c r="L8" s="324">
        <f>SUM(L3:L7)</f>
        <v>757.6899999999996</v>
      </c>
      <c r="M8" s="477">
        <f>SUM(M3:M7)</f>
        <v>-7.3100000000003433</v>
      </c>
      <c r="N8" s="122"/>
      <c r="O8" s="5"/>
      <c r="P8" s="5"/>
      <c r="Q8" s="5"/>
      <c r="R8" s="5"/>
      <c r="S8" s="5"/>
      <c r="T8" s="5"/>
      <c r="U8" s="5"/>
      <c r="V8" s="5"/>
      <c r="W8" s="5"/>
      <c r="X8" s="5"/>
      <c r="Y8" s="5"/>
      <c r="Z8" s="5"/>
      <c r="AA8" s="5"/>
      <c r="AB8" s="5"/>
    </row>
    <row r="9" spans="1:28" ht="30" customHeight="1" x14ac:dyDescent="0.3">
      <c r="A9" s="720" t="s">
        <v>7585</v>
      </c>
      <c r="B9" s="174" t="s">
        <v>7560</v>
      </c>
      <c r="C9" s="644">
        <v>750</v>
      </c>
      <c r="D9" s="146">
        <v>0</v>
      </c>
      <c r="E9" s="145">
        <v>0</v>
      </c>
      <c r="F9" s="145">
        <f t="shared" ref="F9:F14" si="4">E9*D9</f>
        <v>0</v>
      </c>
      <c r="G9" s="145">
        <v>0</v>
      </c>
      <c r="H9" s="172">
        <f t="shared" ref="H9" si="5">F9+G9-C9</f>
        <v>-750</v>
      </c>
      <c r="I9" s="145">
        <f>SUMIFS('Cashbook ING'!$B:$B, 'Cashbook ING'!$A:$A, "PT_Christmas_Rent")</f>
        <v>-1710</v>
      </c>
      <c r="J9" s="145">
        <v>0</v>
      </c>
      <c r="K9" s="168">
        <v>0</v>
      </c>
      <c r="L9" s="174">
        <f>J9+K9+I9</f>
        <v>-1710</v>
      </c>
      <c r="M9" s="176">
        <f t="shared" si="1"/>
        <v>-960</v>
      </c>
      <c r="N9" s="5"/>
      <c r="O9" s="5"/>
      <c r="P9" s="5"/>
      <c r="Q9" s="5"/>
      <c r="R9" s="5"/>
      <c r="S9" s="5"/>
      <c r="T9" s="5"/>
      <c r="U9" s="5"/>
      <c r="V9" s="5"/>
      <c r="W9" s="5"/>
      <c r="X9" s="5"/>
      <c r="Y9" s="5"/>
      <c r="Z9" s="5"/>
      <c r="AA9" s="5"/>
      <c r="AB9" s="5"/>
    </row>
    <row r="10" spans="1:28" ht="30" customHeight="1" x14ac:dyDescent="0.3">
      <c r="A10" s="721"/>
      <c r="B10" s="175" t="s">
        <v>7538</v>
      </c>
      <c r="C10" s="645">
        <v>75</v>
      </c>
      <c r="D10" s="149">
        <v>0</v>
      </c>
      <c r="E10" s="148">
        <v>0</v>
      </c>
      <c r="F10" s="148">
        <f t="shared" si="4"/>
        <v>0</v>
      </c>
      <c r="G10" s="148">
        <v>0</v>
      </c>
      <c r="H10" s="173">
        <f>F10+G10-C10</f>
        <v>-75</v>
      </c>
      <c r="I10" s="148">
        <f>SUMIFS('Cashbook ING'!$B:$B, 'Cashbook ING'!$A:$A, "PT_Christmas_Decorations")</f>
        <v>-110.50999999999999</v>
      </c>
      <c r="J10" s="169">
        <v>0</v>
      </c>
      <c r="K10" s="169">
        <v>0</v>
      </c>
      <c r="L10" s="573">
        <f>J10+K10+I10</f>
        <v>-110.50999999999999</v>
      </c>
      <c r="M10" s="176">
        <f t="shared" si="1"/>
        <v>-35.509999999999991</v>
      </c>
      <c r="N10" s="5"/>
      <c r="O10" s="5"/>
      <c r="P10" s="5"/>
      <c r="Q10" s="5"/>
      <c r="R10" s="5"/>
      <c r="S10" s="5"/>
      <c r="T10" s="5"/>
      <c r="U10" s="5"/>
      <c r="V10" s="5"/>
      <c r="W10" s="5"/>
      <c r="X10" s="5"/>
      <c r="Y10" s="5"/>
      <c r="Z10" s="5"/>
      <c r="AA10" s="5"/>
      <c r="AB10" s="5"/>
    </row>
    <row r="11" spans="1:28" ht="30" customHeight="1" x14ac:dyDescent="0.3">
      <c r="A11" s="721"/>
      <c r="B11" s="175" t="s">
        <v>7584</v>
      </c>
      <c r="C11" s="645">
        <v>300</v>
      </c>
      <c r="D11" s="149">
        <v>0</v>
      </c>
      <c r="E11" s="148">
        <v>0</v>
      </c>
      <c r="F11" s="148">
        <v>0</v>
      </c>
      <c r="G11" s="148">
        <v>0</v>
      </c>
      <c r="H11" s="173">
        <f>F11+G11-C11</f>
        <v>-300</v>
      </c>
      <c r="I11" s="148">
        <f>SUMIFS('Cashbook ING'!$B:$B, 'Cashbook ING'!$A:$A, "PT_Christmas_DJ")</f>
        <v>-163.99</v>
      </c>
      <c r="J11" s="169">
        <v>0</v>
      </c>
      <c r="K11" s="169">
        <v>0</v>
      </c>
      <c r="L11" s="573">
        <f>J11+K11+I11</f>
        <v>-163.99</v>
      </c>
      <c r="M11" s="176">
        <f>L11-H11</f>
        <v>136.01</v>
      </c>
      <c r="N11" s="5"/>
      <c r="O11" s="5"/>
      <c r="P11" s="5"/>
      <c r="Q11" s="5"/>
      <c r="R11" s="5"/>
      <c r="S11" s="5"/>
      <c r="T11" s="5"/>
      <c r="U11" s="5"/>
      <c r="V11" s="5"/>
      <c r="W11" s="5"/>
      <c r="X11" s="5"/>
      <c r="Y11" s="5"/>
      <c r="Z11" s="5"/>
      <c r="AA11" s="5"/>
      <c r="AB11" s="5"/>
    </row>
    <row r="12" spans="1:28" ht="30" customHeight="1" x14ac:dyDescent="0.3">
      <c r="A12" s="721"/>
      <c r="B12" s="175" t="s">
        <v>7586</v>
      </c>
      <c r="C12" s="645">
        <v>450</v>
      </c>
      <c r="D12" s="149">
        <v>0</v>
      </c>
      <c r="E12" s="148">
        <v>0</v>
      </c>
      <c r="F12" s="148">
        <v>0</v>
      </c>
      <c r="G12" s="148">
        <v>0</v>
      </c>
      <c r="H12" s="173">
        <f>F12+G12-C12</f>
        <v>-450</v>
      </c>
      <c r="I12" s="148">
        <v>0</v>
      </c>
      <c r="J12" s="148">
        <f>SUMIFS('Cashbook ING'!$B:$B, 'Cashbook ING'!$A:$A, "PT_Christmas_OtherAssociations")</f>
        <v>1103.1400000000001</v>
      </c>
      <c r="K12" s="169">
        <v>0</v>
      </c>
      <c r="L12" s="573">
        <f>J12+K12+I12</f>
        <v>1103.1400000000001</v>
      </c>
      <c r="M12" s="176">
        <f>L12-H12</f>
        <v>1553.14</v>
      </c>
      <c r="N12" s="5"/>
      <c r="O12" s="5"/>
      <c r="P12" s="5"/>
      <c r="Q12" s="5"/>
      <c r="R12" s="5"/>
      <c r="S12" s="5"/>
      <c r="T12" s="5"/>
      <c r="U12" s="5"/>
      <c r="V12" s="5"/>
      <c r="W12" s="5"/>
      <c r="X12" s="5"/>
      <c r="Y12" s="5"/>
      <c r="Z12" s="5"/>
      <c r="AA12" s="5"/>
      <c r="AB12" s="5"/>
    </row>
    <row r="13" spans="1:28" ht="30" customHeight="1" x14ac:dyDescent="0.3">
      <c r="A13" s="721"/>
      <c r="B13" s="175" t="s">
        <v>7509</v>
      </c>
      <c r="C13" s="169">
        <v>0</v>
      </c>
      <c r="D13" s="149">
        <v>180</v>
      </c>
      <c r="E13" s="148">
        <v>7</v>
      </c>
      <c r="F13" s="148">
        <f t="shared" si="4"/>
        <v>1260</v>
      </c>
      <c r="G13" s="148">
        <v>0</v>
      </c>
      <c r="H13" s="173">
        <f t="shared" ref="H13:H14" si="6">F13+G13-C13</f>
        <v>1260</v>
      </c>
      <c r="I13" s="148">
        <v>0</v>
      </c>
      <c r="J13" s="148">
        <f>SUMIFS('Cashbook Wix'!$B$2:$B$7012,'Cashbook Wix'!$A$2:$A$7012,"PT_Christmas_Member")</f>
        <v>561.17999999999938</v>
      </c>
      <c r="K13" s="169">
        <v>0</v>
      </c>
      <c r="L13" s="175">
        <f t="shared" ref="L13:L14" si="7">J13+K13-I13</f>
        <v>561.17999999999938</v>
      </c>
      <c r="M13" s="176">
        <f t="shared" si="1"/>
        <v>-698.82000000000062</v>
      </c>
      <c r="N13" s="215"/>
      <c r="O13" s="5"/>
      <c r="P13" s="5"/>
      <c r="Q13" s="5"/>
      <c r="R13" s="5"/>
      <c r="S13" s="5"/>
      <c r="T13" s="5"/>
      <c r="U13" s="5"/>
      <c r="V13" s="5"/>
      <c r="W13" s="5"/>
      <c r="X13" s="5"/>
      <c r="Y13" s="5"/>
      <c r="Z13" s="5"/>
      <c r="AA13" s="5"/>
      <c r="AB13" s="5"/>
    </row>
    <row r="14" spans="1:28" ht="30" customHeight="1" x14ac:dyDescent="0.3">
      <c r="A14" s="721"/>
      <c r="B14" s="175" t="s">
        <v>7510</v>
      </c>
      <c r="C14" s="169">
        <v>0</v>
      </c>
      <c r="D14" s="149">
        <v>20</v>
      </c>
      <c r="E14" s="148">
        <v>9</v>
      </c>
      <c r="F14" s="148">
        <f t="shared" si="4"/>
        <v>180</v>
      </c>
      <c r="G14" s="148">
        <v>0</v>
      </c>
      <c r="H14" s="173">
        <f t="shared" si="6"/>
        <v>180</v>
      </c>
      <c r="I14" s="148">
        <v>0</v>
      </c>
      <c r="J14" s="148">
        <f>SUMIFS('Cashbook Wix'!$B$2:$B$7012,'Cashbook Wix'!$A$2:$A$7012,"PT_Christmas_NonMember")</f>
        <v>308.30999999999995</v>
      </c>
      <c r="K14" s="169">
        <v>0</v>
      </c>
      <c r="L14" s="175">
        <f t="shared" si="7"/>
        <v>308.30999999999995</v>
      </c>
      <c r="M14" s="176">
        <f t="shared" si="1"/>
        <v>128.30999999999995</v>
      </c>
      <c r="N14" s="5"/>
      <c r="O14" s="5"/>
      <c r="P14" s="5"/>
      <c r="Q14" s="5"/>
      <c r="R14" s="5"/>
      <c r="S14" s="5"/>
      <c r="T14" s="5"/>
      <c r="U14" s="5"/>
      <c r="V14" s="5"/>
      <c r="W14" s="5"/>
      <c r="X14" s="5"/>
      <c r="Y14" s="5"/>
      <c r="Z14" s="5"/>
      <c r="AA14" s="5"/>
      <c r="AB14" s="5"/>
    </row>
    <row r="15" spans="1:28" ht="30" customHeight="1" x14ac:dyDescent="0.3">
      <c r="A15" s="721"/>
      <c r="B15" s="324" t="s">
        <v>7511</v>
      </c>
      <c r="C15" s="336">
        <f>SUM(C9:C14)</f>
        <v>1575</v>
      </c>
      <c r="D15" s="321">
        <f>SUM(D10:D14)</f>
        <v>200</v>
      </c>
      <c r="E15" s="320">
        <v>0</v>
      </c>
      <c r="F15" s="336">
        <f t="shared" ref="F15:K15" si="8">SUM(F9:F14)</f>
        <v>1440</v>
      </c>
      <c r="G15" s="336">
        <f t="shared" si="8"/>
        <v>0</v>
      </c>
      <c r="H15" s="337">
        <f t="shared" si="8"/>
        <v>-135</v>
      </c>
      <c r="I15" s="336">
        <f>SUM(I9:I14)</f>
        <v>-1984.5</v>
      </c>
      <c r="J15" s="336">
        <f>SUM(J9:J14)</f>
        <v>1972.6299999999994</v>
      </c>
      <c r="K15" s="336">
        <f t="shared" si="8"/>
        <v>0</v>
      </c>
      <c r="L15" s="337">
        <f>SUM(L9:L14)</f>
        <v>-11.870000000000573</v>
      </c>
      <c r="M15" s="477">
        <f>SUM(M9:M14)</f>
        <v>123.12999999999943</v>
      </c>
      <c r="N15" s="5"/>
      <c r="O15" s="5"/>
      <c r="P15" s="5"/>
      <c r="Q15" s="5"/>
      <c r="R15" s="5"/>
      <c r="S15" s="5"/>
      <c r="T15" s="5"/>
      <c r="U15" s="5"/>
      <c r="V15" s="5"/>
      <c r="W15" s="5"/>
      <c r="X15" s="5"/>
      <c r="Y15" s="5"/>
      <c r="Z15" s="5"/>
      <c r="AA15" s="5"/>
      <c r="AB15" s="5"/>
    </row>
    <row r="16" spans="1:28" ht="30" customHeight="1" x14ac:dyDescent="0.3">
      <c r="A16" s="720" t="s">
        <v>7587</v>
      </c>
      <c r="B16" s="174" t="s">
        <v>7588</v>
      </c>
      <c r="C16" s="611">
        <f>3.5*50</f>
        <v>175</v>
      </c>
      <c r="D16" s="146">
        <v>0</v>
      </c>
      <c r="E16" s="145">
        <v>0</v>
      </c>
      <c r="F16" s="145">
        <f t="shared" ref="F16" si="9">E16*D16</f>
        <v>0</v>
      </c>
      <c r="G16" s="145">
        <v>0</v>
      </c>
      <c r="H16" s="170">
        <f>F16+G16-C16</f>
        <v>-175</v>
      </c>
      <c r="I16" s="145">
        <f>SUMIFS('Cashbook ING'!$B:$B, 'Cashbook ING'!$A:$A, "PT_NewYearsBorrel_Drinks")</f>
        <v>-262.5</v>
      </c>
      <c r="J16" s="145">
        <v>0</v>
      </c>
      <c r="K16" s="145">
        <v>0</v>
      </c>
      <c r="L16" s="174">
        <f>J16+K16+I16</f>
        <v>-262.5</v>
      </c>
      <c r="M16" s="176">
        <f t="shared" si="1"/>
        <v>-87.5</v>
      </c>
      <c r="N16" s="5"/>
      <c r="O16" s="5"/>
      <c r="P16" s="5"/>
      <c r="Q16" s="5"/>
      <c r="R16" s="5"/>
      <c r="S16" s="5"/>
      <c r="T16" s="5"/>
      <c r="U16" s="5"/>
      <c r="V16" s="5"/>
      <c r="W16" s="5"/>
      <c r="X16" s="5"/>
      <c r="Y16" s="5"/>
      <c r="Z16" s="5"/>
      <c r="AA16" s="5"/>
      <c r="AB16" s="5"/>
    </row>
    <row r="17" spans="1:28" ht="30" customHeight="1" x14ac:dyDescent="0.3">
      <c r="A17" s="721"/>
      <c r="B17" s="175" t="s">
        <v>7509</v>
      </c>
      <c r="C17" s="151">
        <v>0</v>
      </c>
      <c r="D17" s="149">
        <v>45</v>
      </c>
      <c r="E17" s="148">
        <v>3</v>
      </c>
      <c r="F17" s="148">
        <f>D17*E17</f>
        <v>135</v>
      </c>
      <c r="G17" s="148">
        <v>0</v>
      </c>
      <c r="H17" s="171">
        <f t="shared" ref="H17:H18" si="10">F17+G17-C17</f>
        <v>135</v>
      </c>
      <c r="I17" s="148">
        <f>SUMIFS('Cashbook ING'!$B:$B, 'Cashbook ING'!$A:$A, "PT_BeerPong_Unforeseen")*-1</f>
        <v>0</v>
      </c>
      <c r="J17" s="148">
        <f>SUMIFS('Cashbook Wix'!$B$2:$B$7012,'Cashbook Wix'!$A$2:$A$7012,"PT_NewYearsBorrel_Member")</f>
        <v>207.42999999999995</v>
      </c>
      <c r="K17" s="148">
        <v>0</v>
      </c>
      <c r="L17" s="175">
        <f t="shared" ref="L17:L18" si="11">J17+K17-I17</f>
        <v>207.42999999999995</v>
      </c>
      <c r="M17" s="176">
        <f t="shared" si="1"/>
        <v>72.42999999999995</v>
      </c>
      <c r="N17" s="5"/>
      <c r="O17" s="5"/>
      <c r="P17" s="5"/>
      <c r="Q17" s="5"/>
      <c r="R17" s="5"/>
      <c r="S17" s="5"/>
      <c r="T17" s="5"/>
      <c r="U17" s="5"/>
      <c r="V17" s="5"/>
      <c r="W17" s="5"/>
      <c r="X17" s="5"/>
      <c r="Y17" s="5"/>
      <c r="Z17" s="5"/>
      <c r="AA17" s="5"/>
      <c r="AB17" s="5"/>
    </row>
    <row r="18" spans="1:28" ht="30" customHeight="1" x14ac:dyDescent="0.3">
      <c r="A18" s="721"/>
      <c r="B18" s="175" t="s">
        <v>7510</v>
      </c>
      <c r="C18" s="148">
        <v>0</v>
      </c>
      <c r="D18" s="149">
        <v>5</v>
      </c>
      <c r="E18" s="148">
        <v>5.5</v>
      </c>
      <c r="F18" s="148">
        <f>D18*E18</f>
        <v>27.5</v>
      </c>
      <c r="G18" s="148">
        <v>0</v>
      </c>
      <c r="H18" s="171">
        <f t="shared" si="10"/>
        <v>27.5</v>
      </c>
      <c r="I18" s="148">
        <v>0</v>
      </c>
      <c r="J18" s="148">
        <f>SUMIFS('Cashbook Wix'!$B$2:$B$7012,'Cashbook Wix'!$A$2:$A$7012,"PT_NewYearsBorrel_NonMember")</f>
        <v>57.36</v>
      </c>
      <c r="K18" s="148">
        <v>0</v>
      </c>
      <c r="L18" s="175">
        <f t="shared" si="11"/>
        <v>57.36</v>
      </c>
      <c r="M18" s="176">
        <f t="shared" si="1"/>
        <v>29.86</v>
      </c>
      <c r="N18" s="5"/>
      <c r="O18" s="5"/>
      <c r="P18" s="5"/>
      <c r="Q18" s="5"/>
      <c r="R18" s="5"/>
      <c r="S18" s="5"/>
      <c r="T18" s="5"/>
      <c r="U18" s="5"/>
      <c r="V18" s="5"/>
      <c r="W18" s="5"/>
      <c r="X18" s="5"/>
      <c r="Y18" s="5"/>
      <c r="Z18" s="5"/>
      <c r="AA18" s="5"/>
      <c r="AB18" s="5"/>
    </row>
    <row r="19" spans="1:28" ht="30" customHeight="1" x14ac:dyDescent="0.3">
      <c r="A19" s="721"/>
      <c r="B19" s="324" t="s">
        <v>7511</v>
      </c>
      <c r="C19" s="322">
        <f>SUM(C16:C18)</f>
        <v>175</v>
      </c>
      <c r="D19" s="321">
        <f>SUM(D16:D18)</f>
        <v>50</v>
      </c>
      <c r="E19" s="322">
        <v>0</v>
      </c>
      <c r="F19" s="322">
        <f t="shared" ref="F19:H19" si="12">SUM(F16:F18)</f>
        <v>162.5</v>
      </c>
      <c r="G19" s="322">
        <f t="shared" si="12"/>
        <v>0</v>
      </c>
      <c r="H19" s="323">
        <f t="shared" si="12"/>
        <v>-12.5</v>
      </c>
      <c r="I19" s="322">
        <f>SUM(I16:I18)</f>
        <v>-262.5</v>
      </c>
      <c r="J19" s="322">
        <f>SUM(J16:J18)</f>
        <v>264.78999999999996</v>
      </c>
      <c r="K19" s="322">
        <f>SUM(K16:K18)</f>
        <v>0</v>
      </c>
      <c r="L19" s="323">
        <f>SUM(L16:L18)</f>
        <v>2.2899999999999494</v>
      </c>
      <c r="M19" s="566">
        <f>SUM(M16:M18)</f>
        <v>14.789999999999949</v>
      </c>
      <c r="N19" s="5"/>
      <c r="O19" s="5"/>
      <c r="P19" s="5"/>
      <c r="Q19" s="5"/>
      <c r="R19" s="5"/>
      <c r="S19" s="5"/>
      <c r="T19" s="5"/>
      <c r="U19" s="5"/>
      <c r="V19" s="5"/>
      <c r="W19" s="5"/>
      <c r="X19" s="5"/>
      <c r="Y19" s="5"/>
      <c r="Z19" s="5"/>
      <c r="AA19" s="5"/>
      <c r="AB19" s="5"/>
    </row>
    <row r="20" spans="1:28" ht="30" customHeight="1" x14ac:dyDescent="0.3">
      <c r="A20" s="720" t="s">
        <v>7589</v>
      </c>
      <c r="B20" s="634" t="s">
        <v>7535</v>
      </c>
      <c r="C20" s="145">
        <v>0</v>
      </c>
      <c r="D20" s="146">
        <v>0</v>
      </c>
      <c r="E20" s="145">
        <v>0</v>
      </c>
      <c r="F20" s="145">
        <v>0</v>
      </c>
      <c r="G20" s="145">
        <v>0</v>
      </c>
      <c r="H20" s="170">
        <f t="shared" ref="H20:H23" si="13">F20+G20-C20</f>
        <v>0</v>
      </c>
      <c r="I20" s="661">
        <f>SUMIFS('Cashbook ING'!$B:$B, 'Cashbook ING'!$A:$A, "PT_BeerPong_Beer")</f>
        <v>-255</v>
      </c>
      <c r="J20" s="611">
        <v>0</v>
      </c>
      <c r="K20" s="611">
        <v>0</v>
      </c>
      <c r="L20" s="660">
        <f t="shared" ref="L20:L23" si="14">K20+J20+I20</f>
        <v>-255</v>
      </c>
      <c r="M20" s="662">
        <f t="shared" si="1"/>
        <v>-255</v>
      </c>
      <c r="N20" s="5"/>
      <c r="P20" s="5"/>
      <c r="Q20" s="5"/>
      <c r="R20" s="5"/>
      <c r="S20" s="5"/>
      <c r="T20" s="5"/>
      <c r="U20" s="5"/>
      <c r="V20" s="5"/>
      <c r="W20" s="5"/>
      <c r="X20" s="5"/>
      <c r="Y20" s="5"/>
      <c r="Z20" s="5"/>
      <c r="AA20" s="5"/>
      <c r="AB20" s="5"/>
    </row>
    <row r="21" spans="1:28" ht="30" customHeight="1" x14ac:dyDescent="0.3">
      <c r="A21" s="721"/>
      <c r="B21" s="659" t="s">
        <v>7388</v>
      </c>
      <c r="C21" s="148">
        <v>0</v>
      </c>
      <c r="D21" s="149">
        <v>0</v>
      </c>
      <c r="E21" s="148">
        <v>0</v>
      </c>
      <c r="F21" s="148">
        <v>0</v>
      </c>
      <c r="G21" s="148">
        <v>0</v>
      </c>
      <c r="H21" s="171">
        <v>0</v>
      </c>
      <c r="I21" s="525">
        <f>SUMIFS('Cashbook ING'!$B:$B, 'Cashbook ING'!$A:$A, "PT_BeerPong_Supplies")</f>
        <v>-64.680000000000007</v>
      </c>
      <c r="J21" s="432">
        <v>0</v>
      </c>
      <c r="K21" s="432">
        <v>0</v>
      </c>
      <c r="L21" s="523">
        <f t="shared" si="14"/>
        <v>-64.680000000000007</v>
      </c>
      <c r="M21" s="663">
        <f t="shared" si="1"/>
        <v>-64.680000000000007</v>
      </c>
      <c r="N21" s="5"/>
      <c r="P21" s="5"/>
      <c r="Q21" s="5"/>
      <c r="R21" s="5"/>
      <c r="S21" s="5"/>
      <c r="T21" s="5"/>
      <c r="U21" s="5"/>
      <c r="V21" s="5"/>
      <c r="W21" s="5"/>
      <c r="X21" s="5"/>
      <c r="Y21" s="5"/>
      <c r="Z21" s="5"/>
      <c r="AA21" s="5"/>
      <c r="AB21" s="5"/>
    </row>
    <row r="22" spans="1:28" ht="30" customHeight="1" x14ac:dyDescent="0.3">
      <c r="A22" s="721"/>
      <c r="B22" s="175" t="s">
        <v>7509</v>
      </c>
      <c r="C22" s="148">
        <v>0</v>
      </c>
      <c r="D22" s="149">
        <v>150</v>
      </c>
      <c r="E22" s="148">
        <v>0</v>
      </c>
      <c r="F22" s="148">
        <f t="shared" ref="F22:F23" si="15">E22*D22</f>
        <v>0</v>
      </c>
      <c r="G22" s="148">
        <v>0</v>
      </c>
      <c r="H22" s="171">
        <f t="shared" si="13"/>
        <v>0</v>
      </c>
      <c r="I22" s="148">
        <v>0</v>
      </c>
      <c r="J22" s="148">
        <f>SUMIFS('Cashbook Wix'!$B$2:$B$7012,'Cashbook Wix'!$A$2:$A$7012,"PT_BeerPong_Member")</f>
        <v>133.56</v>
      </c>
      <c r="K22" s="148">
        <v>0</v>
      </c>
      <c r="L22" s="175">
        <f t="shared" si="14"/>
        <v>133.56</v>
      </c>
      <c r="M22" s="663">
        <f t="shared" si="1"/>
        <v>133.56</v>
      </c>
      <c r="N22" s="5"/>
      <c r="O22" s="5"/>
      <c r="P22" s="5"/>
      <c r="Q22" s="5"/>
      <c r="R22" s="5"/>
      <c r="S22" s="5"/>
      <c r="T22" s="5"/>
      <c r="U22" s="5"/>
      <c r="V22" s="5"/>
      <c r="W22" s="5"/>
      <c r="X22" s="5"/>
      <c r="Y22" s="5"/>
      <c r="Z22" s="5"/>
      <c r="AA22" s="5"/>
      <c r="AB22" s="5"/>
    </row>
    <row r="23" spans="1:28" ht="30" customHeight="1" x14ac:dyDescent="0.3">
      <c r="A23" s="721"/>
      <c r="B23" s="175" t="s">
        <v>7510</v>
      </c>
      <c r="C23" s="148">
        <v>0</v>
      </c>
      <c r="D23" s="149">
        <v>25</v>
      </c>
      <c r="E23" s="148">
        <v>0</v>
      </c>
      <c r="F23" s="148">
        <f t="shared" si="15"/>
        <v>0</v>
      </c>
      <c r="G23" s="148">
        <v>0</v>
      </c>
      <c r="H23" s="171">
        <f t="shared" si="13"/>
        <v>0</v>
      </c>
      <c r="I23" s="148">
        <v>0</v>
      </c>
      <c r="J23" s="148">
        <f>SUMIFS('Cashbook Wix'!$B$2:$B$7012,'Cashbook Wix'!$A$2:$A$7012,"PT_BeerPong_NonMember")</f>
        <v>22.55</v>
      </c>
      <c r="K23" s="148">
        <v>0</v>
      </c>
      <c r="L23" s="175">
        <f t="shared" si="14"/>
        <v>22.55</v>
      </c>
      <c r="M23" s="176">
        <f t="shared" si="1"/>
        <v>22.55</v>
      </c>
      <c r="N23" s="5"/>
      <c r="O23" s="5"/>
      <c r="P23" s="5"/>
      <c r="Q23" s="5"/>
      <c r="R23" s="5"/>
      <c r="S23" s="5"/>
      <c r="T23" s="5"/>
      <c r="U23" s="5"/>
      <c r="V23" s="5"/>
      <c r="W23" s="5"/>
      <c r="X23" s="5"/>
      <c r="Y23" s="5"/>
      <c r="Z23" s="5"/>
      <c r="AA23" s="5"/>
      <c r="AB23" s="5"/>
    </row>
    <row r="24" spans="1:28" ht="30" customHeight="1" x14ac:dyDescent="0.3">
      <c r="A24" s="724"/>
      <c r="B24" s="327" t="s">
        <v>7511</v>
      </c>
      <c r="C24" s="332">
        <f>SUM(C20:C23)</f>
        <v>0</v>
      </c>
      <c r="D24" s="326">
        <f>SUM(D20:D23)</f>
        <v>175</v>
      </c>
      <c r="E24" s="325">
        <v>0</v>
      </c>
      <c r="F24" s="332">
        <f>SUM(F20:F23)</f>
        <v>0</v>
      </c>
      <c r="G24" s="325">
        <v>0</v>
      </c>
      <c r="H24" s="338">
        <f t="shared" ref="H24:L24" si="16">SUM(H20:H23)</f>
        <v>0</v>
      </c>
      <c r="I24" s="332">
        <f>SUM(I20:I23)</f>
        <v>-319.68</v>
      </c>
      <c r="J24" s="332">
        <f>SUM(J20:J23)</f>
        <v>156.11000000000001</v>
      </c>
      <c r="K24" s="332">
        <f t="shared" si="16"/>
        <v>0</v>
      </c>
      <c r="L24" s="338">
        <f t="shared" si="16"/>
        <v>-163.57</v>
      </c>
      <c r="M24" s="477">
        <f>SUM(M20:M23)</f>
        <v>-163.57</v>
      </c>
      <c r="N24" s="5"/>
      <c r="O24" s="5"/>
      <c r="P24" s="5"/>
      <c r="Q24" s="5"/>
      <c r="R24" s="5"/>
      <c r="S24" s="5"/>
      <c r="T24" s="5"/>
      <c r="U24" s="5"/>
      <c r="V24" s="5"/>
      <c r="W24" s="5"/>
      <c r="X24" s="5"/>
      <c r="Y24" s="5"/>
      <c r="Z24" s="5"/>
      <c r="AA24" s="5"/>
      <c r="AB24" s="5"/>
    </row>
    <row r="25" spans="1:28" ht="30" customHeight="1" x14ac:dyDescent="0.3">
      <c r="A25" s="722" t="s">
        <v>7590</v>
      </c>
      <c r="B25" s="523" t="s">
        <v>7591</v>
      </c>
      <c r="C25" s="432">
        <v>6500</v>
      </c>
      <c r="D25" s="524">
        <v>0</v>
      </c>
      <c r="E25" s="432">
        <v>0</v>
      </c>
      <c r="F25" s="148">
        <v>0</v>
      </c>
      <c r="G25" s="148">
        <v>0</v>
      </c>
      <c r="H25" s="171">
        <f>G25+F25-C25</f>
        <v>-6500</v>
      </c>
      <c r="I25" s="148">
        <f>SUMIFS('Cashbook ING'!$B:$B, 'Cashbook ING'!$A:$A, "PT_Formal_Rent")</f>
        <v>-7538.63</v>
      </c>
      <c r="J25" s="148">
        <v>0</v>
      </c>
      <c r="K25" s="148">
        <v>0</v>
      </c>
      <c r="L25" s="175">
        <f>K25+J25+I25</f>
        <v>-7538.63</v>
      </c>
      <c r="M25" s="176">
        <f t="shared" si="1"/>
        <v>-1038.6300000000001</v>
      </c>
      <c r="N25" s="5"/>
      <c r="O25" s="5"/>
      <c r="P25" s="5"/>
      <c r="Q25" s="5"/>
      <c r="R25" s="5"/>
      <c r="S25" s="5"/>
      <c r="T25" s="5"/>
      <c r="U25" s="5"/>
      <c r="V25" s="5"/>
      <c r="W25" s="5"/>
      <c r="X25" s="5"/>
      <c r="Y25" s="5"/>
      <c r="Z25" s="5"/>
      <c r="AA25" s="5"/>
      <c r="AB25" s="5"/>
    </row>
    <row r="26" spans="1:28" ht="30" customHeight="1" x14ac:dyDescent="0.3">
      <c r="A26" s="722"/>
      <c r="B26" s="523" t="s">
        <v>7592</v>
      </c>
      <c r="C26" s="432">
        <v>1400</v>
      </c>
      <c r="D26" s="524">
        <v>0</v>
      </c>
      <c r="E26" s="432">
        <v>0</v>
      </c>
      <c r="F26" s="148">
        <v>0</v>
      </c>
      <c r="G26" s="148">
        <v>0</v>
      </c>
      <c r="H26" s="171">
        <f t="shared" ref="H26:H32" si="17">G26+F26-C26</f>
        <v>-1400</v>
      </c>
      <c r="I26" s="148">
        <f>SUMIFS('Cashbook ING'!$B:$B, 'Cashbook ING'!$A:$A, "PT_Formal_Photographer")</f>
        <v>-135.52000000000001</v>
      </c>
      <c r="J26" s="148">
        <v>0</v>
      </c>
      <c r="K26" s="148">
        <v>0</v>
      </c>
      <c r="L26" s="175">
        <f t="shared" ref="L26:L32" si="18">K26+J26+I26</f>
        <v>-135.52000000000001</v>
      </c>
      <c r="M26" s="176">
        <f t="shared" si="1"/>
        <v>1264.48</v>
      </c>
      <c r="N26" s="5"/>
      <c r="O26" s="5"/>
      <c r="P26" s="5"/>
      <c r="Q26" s="5"/>
      <c r="R26" s="5"/>
      <c r="S26" s="5"/>
      <c r="T26" s="5"/>
      <c r="U26" s="5"/>
      <c r="V26" s="5"/>
      <c r="W26" s="5"/>
      <c r="X26" s="5"/>
      <c r="Y26" s="5"/>
      <c r="Z26" s="5"/>
      <c r="AA26" s="5"/>
      <c r="AB26" s="5"/>
    </row>
    <row r="27" spans="1:28" ht="30" customHeight="1" x14ac:dyDescent="0.3">
      <c r="A27" s="722"/>
      <c r="B27" s="523" t="s">
        <v>7584</v>
      </c>
      <c r="C27" s="432">
        <v>250</v>
      </c>
      <c r="D27" s="524">
        <v>0</v>
      </c>
      <c r="E27" s="432">
        <v>0</v>
      </c>
      <c r="F27" s="148">
        <v>0</v>
      </c>
      <c r="G27" s="148">
        <v>0</v>
      </c>
      <c r="H27" s="171">
        <f t="shared" si="17"/>
        <v>-250</v>
      </c>
      <c r="I27" s="148">
        <f>SUMIFS('Cashbook ING'!$B:$B, 'Cashbook ING'!$A:$A, "PT_Formal_DJ")</f>
        <v>-200</v>
      </c>
      <c r="J27" s="148">
        <v>0</v>
      </c>
      <c r="K27" s="148">
        <v>0</v>
      </c>
      <c r="L27" s="175">
        <f t="shared" si="18"/>
        <v>-200</v>
      </c>
      <c r="M27" s="176">
        <f t="shared" si="1"/>
        <v>50</v>
      </c>
      <c r="N27" s="5"/>
      <c r="O27" s="5"/>
      <c r="P27" s="5"/>
      <c r="Q27" s="5"/>
      <c r="R27" s="5"/>
      <c r="S27" s="5"/>
      <c r="T27" s="5"/>
      <c r="U27" s="5"/>
      <c r="V27" s="5"/>
      <c r="W27" s="5"/>
      <c r="X27" s="5"/>
      <c r="Y27" s="5"/>
      <c r="Z27" s="5"/>
      <c r="AA27" s="5"/>
      <c r="AB27" s="5"/>
    </row>
    <row r="28" spans="1:28" ht="30" customHeight="1" x14ac:dyDescent="0.3">
      <c r="A28" s="722"/>
      <c r="B28" s="523" t="s">
        <v>7535</v>
      </c>
      <c r="C28" s="432">
        <v>0</v>
      </c>
      <c r="D28" s="524">
        <v>0</v>
      </c>
      <c r="E28" s="432">
        <v>0</v>
      </c>
      <c r="F28" s="148">
        <v>0</v>
      </c>
      <c r="G28" s="148">
        <v>0</v>
      </c>
      <c r="H28" s="171">
        <f t="shared" si="17"/>
        <v>0</v>
      </c>
      <c r="I28" s="148">
        <f>SUMIFS('Cashbook ING'!$B:$B, 'Cashbook ING'!$A:$A, "PT_")</f>
        <v>0</v>
      </c>
      <c r="J28" s="148">
        <v>0</v>
      </c>
      <c r="K28" s="148">
        <v>0</v>
      </c>
      <c r="L28" s="175">
        <f>K28+J28+I28</f>
        <v>0</v>
      </c>
      <c r="M28" s="176">
        <f>L28-H28</f>
        <v>0</v>
      </c>
      <c r="N28" s="5"/>
      <c r="O28" s="5"/>
      <c r="P28" s="5"/>
      <c r="Q28" s="5"/>
      <c r="R28" s="5"/>
      <c r="S28" s="5"/>
      <c r="T28" s="5"/>
      <c r="U28" s="5"/>
      <c r="V28" s="5"/>
      <c r="W28" s="5"/>
      <c r="X28" s="5"/>
      <c r="Y28" s="5"/>
      <c r="Z28" s="5"/>
      <c r="AA28" s="5"/>
      <c r="AB28" s="5"/>
    </row>
    <row r="29" spans="1:28" ht="30" customHeight="1" x14ac:dyDescent="0.3">
      <c r="A29" s="722"/>
      <c r="B29" s="523" t="s">
        <v>7593</v>
      </c>
      <c r="C29" s="432">
        <v>815</v>
      </c>
      <c r="D29" s="524">
        <v>0</v>
      </c>
      <c r="E29" s="432">
        <v>0</v>
      </c>
      <c r="F29" s="148">
        <v>0</v>
      </c>
      <c r="G29" s="148">
        <v>0</v>
      </c>
      <c r="H29" s="171">
        <f t="shared" si="17"/>
        <v>-815</v>
      </c>
      <c r="I29" s="148">
        <f>SUMIFS('Cashbook ING'!$B:$B, 'Cashbook ING'!$A:$A, "PT_Formal_Band")</f>
        <v>-385.43</v>
      </c>
      <c r="J29" s="148">
        <v>0</v>
      </c>
      <c r="K29" s="148">
        <v>0</v>
      </c>
      <c r="L29" s="175">
        <f>K29+J29+I29</f>
        <v>-385.43</v>
      </c>
      <c r="M29" s="176">
        <f>L29-H29</f>
        <v>429.57</v>
      </c>
      <c r="N29" s="5"/>
      <c r="O29" s="5"/>
      <c r="P29" s="5"/>
      <c r="Q29" s="5"/>
      <c r="R29" s="5"/>
      <c r="S29" s="5"/>
      <c r="T29" s="5"/>
      <c r="U29" s="5"/>
      <c r="V29" s="5"/>
      <c r="W29" s="5"/>
      <c r="X29" s="5"/>
      <c r="Y29" s="5"/>
      <c r="Z29" s="5"/>
      <c r="AA29" s="5"/>
      <c r="AB29" s="5"/>
    </row>
    <row r="30" spans="1:28" ht="30" customHeight="1" x14ac:dyDescent="0.3">
      <c r="A30" s="722"/>
      <c r="B30" s="523" t="s">
        <v>7594</v>
      </c>
      <c r="C30" s="432">
        <v>0</v>
      </c>
      <c r="D30" s="524">
        <v>250</v>
      </c>
      <c r="E30" s="432">
        <v>2</v>
      </c>
      <c r="F30" s="148">
        <f>E30*D30</f>
        <v>500</v>
      </c>
      <c r="G30" s="148">
        <v>0</v>
      </c>
      <c r="H30" s="171">
        <f t="shared" si="17"/>
        <v>500</v>
      </c>
      <c r="I30" s="148">
        <f>SUMIFS('Cashbook ING'!$B:$B, 'Cashbook ING'!$A:$A, "PT_")</f>
        <v>0</v>
      </c>
      <c r="J30" s="148">
        <v>0</v>
      </c>
      <c r="K30" s="148">
        <v>0</v>
      </c>
      <c r="L30" s="175">
        <f>K30+J30+I30</f>
        <v>0</v>
      </c>
      <c r="M30" s="176">
        <f>L30-H30</f>
        <v>-500</v>
      </c>
      <c r="N30" s="5"/>
      <c r="O30" s="5"/>
      <c r="P30" s="5"/>
      <c r="Q30" s="5"/>
      <c r="R30" s="5"/>
      <c r="S30" s="5"/>
      <c r="T30" s="5"/>
      <c r="U30" s="5"/>
      <c r="V30" s="5"/>
      <c r="W30" s="5"/>
      <c r="X30" s="5"/>
      <c r="Y30" s="5"/>
      <c r="Z30" s="5"/>
      <c r="AA30" s="5"/>
      <c r="AB30" s="5"/>
    </row>
    <row r="31" spans="1:28" ht="30" customHeight="1" x14ac:dyDescent="0.3">
      <c r="A31" s="722"/>
      <c r="B31" s="523" t="s">
        <v>7509</v>
      </c>
      <c r="C31" s="432">
        <v>0</v>
      </c>
      <c r="D31" s="524">
        <v>290</v>
      </c>
      <c r="E31" s="432">
        <v>18</v>
      </c>
      <c r="F31" s="148">
        <f>E31*D31</f>
        <v>5220</v>
      </c>
      <c r="G31" s="148">
        <v>0</v>
      </c>
      <c r="H31" s="171">
        <f t="shared" si="17"/>
        <v>5220</v>
      </c>
      <c r="I31" s="148">
        <v>0</v>
      </c>
      <c r="J31" s="148">
        <f>SUMIFS('Cashbook Wix'!$B$2:$B$7012,'Cashbook Wix'!$A$2:$A$7012,"PT_Formal_Member")</f>
        <v>4145.4699999999857</v>
      </c>
      <c r="K31" s="148">
        <v>0</v>
      </c>
      <c r="L31" s="175">
        <f>K31+J31+I31</f>
        <v>4145.4699999999857</v>
      </c>
      <c r="M31" s="176">
        <f t="shared" si="1"/>
        <v>-1074.5300000000143</v>
      </c>
      <c r="N31" s="5"/>
      <c r="O31" s="5"/>
      <c r="P31" s="5"/>
      <c r="Q31" s="5"/>
      <c r="R31" s="5"/>
      <c r="S31" s="5"/>
      <c r="T31" s="5"/>
      <c r="U31" s="5"/>
      <c r="V31" s="5"/>
      <c r="W31" s="5"/>
      <c r="X31" s="5"/>
      <c r="Y31" s="5"/>
      <c r="Z31" s="5"/>
      <c r="AA31" s="5"/>
      <c r="AB31" s="5"/>
    </row>
    <row r="32" spans="1:28" ht="30" customHeight="1" x14ac:dyDescent="0.3">
      <c r="A32" s="722"/>
      <c r="B32" s="175" t="s">
        <v>7510</v>
      </c>
      <c r="C32" s="148">
        <v>0</v>
      </c>
      <c r="D32" s="149">
        <v>30</v>
      </c>
      <c r="E32" s="148">
        <v>21</v>
      </c>
      <c r="F32" s="148">
        <f>E32*D32</f>
        <v>630</v>
      </c>
      <c r="G32" s="148">
        <v>0</v>
      </c>
      <c r="H32" s="171">
        <f t="shared" si="17"/>
        <v>630</v>
      </c>
      <c r="I32" s="148">
        <v>0</v>
      </c>
      <c r="J32" s="148">
        <f>SUMIFS('Cashbook Wix'!$B$2:$B$7012,'Cashbook Wix'!$A$2:$A$7012,"PT_Formal_NonMember")</f>
        <v>1618.0300000000007</v>
      </c>
      <c r="K32" s="148">
        <v>0</v>
      </c>
      <c r="L32" s="175">
        <f t="shared" si="18"/>
        <v>1618.0300000000007</v>
      </c>
      <c r="M32" s="176">
        <f t="shared" si="1"/>
        <v>988.03000000000065</v>
      </c>
      <c r="N32" s="5"/>
      <c r="O32" s="5"/>
      <c r="P32" s="5"/>
      <c r="Q32" s="5"/>
      <c r="R32" s="5"/>
      <c r="S32" s="5"/>
      <c r="T32" s="5"/>
      <c r="U32" s="5"/>
      <c r="V32" s="5"/>
      <c r="W32" s="5"/>
      <c r="X32" s="5"/>
      <c r="Y32" s="5"/>
      <c r="Z32" s="5"/>
      <c r="AA32" s="5"/>
      <c r="AB32" s="5"/>
    </row>
    <row r="33" spans="1:28" ht="30" customHeight="1" x14ac:dyDescent="0.3">
      <c r="A33" s="725"/>
      <c r="B33" s="327" t="s">
        <v>7511</v>
      </c>
      <c r="C33" s="332">
        <f>SUM(C25:C32)</f>
        <v>8965</v>
      </c>
      <c r="D33" s="359">
        <f>SUM(D31:D32)</f>
        <v>320</v>
      </c>
      <c r="E33" s="332">
        <v>0</v>
      </c>
      <c r="F33" s="332">
        <f t="shared" ref="F33:G33" si="19">SUM(F25:F32)</f>
        <v>6350</v>
      </c>
      <c r="G33" s="332">
        <f t="shared" si="19"/>
        <v>0</v>
      </c>
      <c r="H33" s="338">
        <f>SUM(H25:H32)</f>
        <v>-2615</v>
      </c>
      <c r="I33" s="332">
        <f>SUM(I25:I32)</f>
        <v>-8259.58</v>
      </c>
      <c r="J33" s="332">
        <f>SUM(J25:J32)</f>
        <v>5763.4999999999864</v>
      </c>
      <c r="K33" s="332">
        <f>SUM(K25:K32)</f>
        <v>0</v>
      </c>
      <c r="L33" s="338">
        <f t="shared" ref="L33" si="20">SUM(L25:L32)</f>
        <v>-2496.0800000000136</v>
      </c>
      <c r="M33" s="477">
        <f>SUM(M25:M32)</f>
        <v>118.9199999999862</v>
      </c>
      <c r="N33" s="5"/>
      <c r="O33" s="5"/>
      <c r="P33" s="5"/>
      <c r="Q33" s="5"/>
      <c r="R33" s="5"/>
      <c r="S33" s="5"/>
      <c r="T33" s="5"/>
      <c r="U33" s="5"/>
      <c r="V33" s="5"/>
      <c r="W33" s="5"/>
      <c r="X33" s="5"/>
      <c r="Y33" s="5"/>
      <c r="Z33" s="5"/>
      <c r="AA33" s="5"/>
      <c r="AB33" s="5"/>
    </row>
    <row r="34" spans="1:28" ht="30" customHeight="1" x14ac:dyDescent="0.3">
      <c r="A34" s="722" t="s">
        <v>7595</v>
      </c>
      <c r="B34" s="175" t="s">
        <v>7388</v>
      </c>
      <c r="C34" s="148">
        <v>100</v>
      </c>
      <c r="D34" s="149">
        <v>0</v>
      </c>
      <c r="E34" s="148">
        <v>0</v>
      </c>
      <c r="F34" s="148">
        <v>50</v>
      </c>
      <c r="G34" s="148">
        <v>0</v>
      </c>
      <c r="H34" s="171">
        <f>G34+F34-C34</f>
        <v>-50</v>
      </c>
      <c r="I34" s="148">
        <f>SUMIFS('Cashbook ING'!$B:$B, 'Cashbook ING'!$A:$A, "PT_")</f>
        <v>0</v>
      </c>
      <c r="J34" s="148">
        <v>0</v>
      </c>
      <c r="K34" s="148">
        <v>0</v>
      </c>
      <c r="L34" s="175">
        <f>K34+J34+I34</f>
        <v>0</v>
      </c>
      <c r="M34" s="176">
        <f t="shared" ref="M34:M40" si="21">L34-H34</f>
        <v>50</v>
      </c>
      <c r="N34" s="5"/>
      <c r="O34" s="5"/>
      <c r="P34" s="5"/>
      <c r="Q34" s="5"/>
      <c r="R34" s="5"/>
      <c r="S34" s="5"/>
      <c r="T34" s="5"/>
      <c r="U34" s="5"/>
      <c r="V34" s="5"/>
      <c r="W34" s="5"/>
      <c r="X34" s="5"/>
      <c r="Y34" s="5"/>
      <c r="Z34" s="5"/>
      <c r="AA34" s="5"/>
      <c r="AB34" s="5"/>
    </row>
    <row r="35" spans="1:28" ht="30" customHeight="1" x14ac:dyDescent="0.3">
      <c r="A35" s="722"/>
      <c r="B35" s="175" t="s">
        <v>7578</v>
      </c>
      <c r="C35" s="148">
        <v>350</v>
      </c>
      <c r="D35" s="149">
        <v>0</v>
      </c>
      <c r="E35" s="148">
        <v>0</v>
      </c>
      <c r="F35" s="148">
        <v>200</v>
      </c>
      <c r="G35" s="148">
        <v>0</v>
      </c>
      <c r="H35" s="171">
        <f t="shared" ref="H35:H40" si="22">G35+F35-C35</f>
        <v>-150</v>
      </c>
      <c r="I35" s="148">
        <f>SUMIFS('Cashbook ING'!$B:$B, 'Cashbook ING'!$A:$A, "PT_")</f>
        <v>0</v>
      </c>
      <c r="J35" s="148">
        <v>0</v>
      </c>
      <c r="K35" s="148">
        <v>0</v>
      </c>
      <c r="L35" s="175">
        <f t="shared" ref="L35:L40" si="23">K35+J35+I35</f>
        <v>0</v>
      </c>
      <c r="M35" s="176">
        <f t="shared" si="21"/>
        <v>150</v>
      </c>
      <c r="N35" s="5"/>
      <c r="O35" s="5"/>
      <c r="P35" s="5"/>
      <c r="Q35" s="5"/>
      <c r="R35" s="5"/>
      <c r="S35" s="5"/>
      <c r="T35" s="5"/>
      <c r="U35" s="5"/>
      <c r="V35" s="5"/>
      <c r="W35" s="5"/>
      <c r="X35" s="5"/>
      <c r="Y35" s="5"/>
      <c r="Z35" s="5"/>
      <c r="AA35" s="5"/>
      <c r="AB35" s="5"/>
    </row>
    <row r="36" spans="1:28" ht="30" customHeight="1" x14ac:dyDescent="0.3">
      <c r="A36" s="722"/>
      <c r="B36" s="523" t="s">
        <v>7596</v>
      </c>
      <c r="C36" s="432">
        <v>45</v>
      </c>
      <c r="D36" s="524">
        <v>0</v>
      </c>
      <c r="E36" s="432">
        <v>0</v>
      </c>
      <c r="F36" s="148">
        <v>0</v>
      </c>
      <c r="G36" s="148">
        <v>0</v>
      </c>
      <c r="H36" s="171">
        <f t="shared" si="22"/>
        <v>-45</v>
      </c>
      <c r="I36" s="148">
        <f>SUMIFS('Cashbook ING'!$B:$B, 'Cashbook ING'!$A:$A, "PT_")</f>
        <v>0</v>
      </c>
      <c r="J36" s="148">
        <v>0</v>
      </c>
      <c r="K36" s="148">
        <v>0</v>
      </c>
      <c r="L36" s="175">
        <f>K36+J36+I36</f>
        <v>0</v>
      </c>
      <c r="M36" s="176">
        <f>L36-H36</f>
        <v>45</v>
      </c>
      <c r="N36" s="5"/>
      <c r="O36" s="5"/>
      <c r="P36" s="5"/>
      <c r="Q36" s="5"/>
      <c r="R36" s="5"/>
      <c r="S36" s="5"/>
      <c r="T36" s="5"/>
      <c r="U36" s="5"/>
      <c r="V36" s="5"/>
      <c r="W36" s="5"/>
      <c r="X36" s="5"/>
      <c r="Y36" s="5"/>
      <c r="Z36" s="5"/>
      <c r="AA36" s="5"/>
      <c r="AB36" s="5"/>
    </row>
    <row r="37" spans="1:28" ht="30" customHeight="1" x14ac:dyDescent="0.3">
      <c r="A37" s="722"/>
      <c r="B37" s="523" t="s">
        <v>7579</v>
      </c>
      <c r="C37" s="432">
        <v>0</v>
      </c>
      <c r="D37" s="524">
        <v>36</v>
      </c>
      <c r="E37" s="432">
        <v>4.5</v>
      </c>
      <c r="F37" s="148">
        <f t="shared" ref="F37:F38" si="24">E37*D37</f>
        <v>162</v>
      </c>
      <c r="G37" s="148">
        <v>0</v>
      </c>
      <c r="H37" s="171">
        <f t="shared" si="22"/>
        <v>162</v>
      </c>
      <c r="I37" s="148">
        <f>SUMIFS('Cashbook ING'!$B:$B, 'Cashbook ING'!$A:$A, "PT_")</f>
        <v>0</v>
      </c>
      <c r="J37" s="148">
        <v>0</v>
      </c>
      <c r="K37" s="148">
        <v>0</v>
      </c>
      <c r="L37" s="175">
        <f>K37+J37+I37</f>
        <v>0</v>
      </c>
      <c r="M37" s="176">
        <f>L37-H37</f>
        <v>-162</v>
      </c>
      <c r="N37" s="5"/>
      <c r="O37" s="5"/>
      <c r="P37" s="5"/>
      <c r="Q37" s="5"/>
      <c r="R37" s="5"/>
      <c r="S37" s="5"/>
      <c r="T37" s="5"/>
      <c r="U37" s="5"/>
      <c r="V37" s="5"/>
      <c r="W37" s="5"/>
      <c r="X37" s="5"/>
      <c r="Y37" s="5"/>
      <c r="Z37" s="5"/>
      <c r="AA37" s="5"/>
      <c r="AB37" s="5"/>
    </row>
    <row r="38" spans="1:28" ht="30" customHeight="1" x14ac:dyDescent="0.3">
      <c r="A38" s="722"/>
      <c r="B38" s="523" t="s">
        <v>7580</v>
      </c>
      <c r="C38" s="432">
        <v>0</v>
      </c>
      <c r="D38" s="524">
        <v>4</v>
      </c>
      <c r="E38" s="432">
        <v>6.5</v>
      </c>
      <c r="F38" s="148">
        <f t="shared" si="24"/>
        <v>26</v>
      </c>
      <c r="G38" s="148">
        <v>0</v>
      </c>
      <c r="H38" s="171">
        <f t="shared" si="22"/>
        <v>26</v>
      </c>
      <c r="I38" s="148">
        <f>SUMIFS('Cashbook ING'!$B:$B, 'Cashbook ING'!$A:$A, "PT_")</f>
        <v>0</v>
      </c>
      <c r="J38" s="148">
        <v>0</v>
      </c>
      <c r="K38" s="148">
        <v>0</v>
      </c>
      <c r="L38" s="175">
        <f t="shared" si="23"/>
        <v>0</v>
      </c>
      <c r="M38" s="176">
        <f>L38-H38</f>
        <v>-26</v>
      </c>
      <c r="N38" s="5"/>
      <c r="O38" s="5"/>
      <c r="P38" s="5"/>
      <c r="Q38" s="5"/>
      <c r="R38" s="5"/>
      <c r="S38" s="5"/>
      <c r="T38" s="5"/>
      <c r="U38" s="5"/>
      <c r="V38" s="5"/>
      <c r="W38" s="5"/>
      <c r="X38" s="5"/>
      <c r="Y38" s="5"/>
      <c r="Z38" s="5"/>
      <c r="AA38" s="5"/>
      <c r="AB38" s="5"/>
    </row>
    <row r="39" spans="1:28" ht="30" customHeight="1" x14ac:dyDescent="0.3">
      <c r="A39" s="722"/>
      <c r="B39" s="523" t="s">
        <v>7581</v>
      </c>
      <c r="C39" s="432">
        <v>0</v>
      </c>
      <c r="D39" s="524">
        <v>45</v>
      </c>
      <c r="E39" s="432">
        <v>2.5</v>
      </c>
      <c r="F39" s="148">
        <f>E39*D39</f>
        <v>112.5</v>
      </c>
      <c r="G39" s="148">
        <v>0</v>
      </c>
      <c r="H39" s="171">
        <f t="shared" si="22"/>
        <v>112.5</v>
      </c>
      <c r="I39" s="148">
        <v>0</v>
      </c>
      <c r="J39" s="148">
        <f>SUMIFS('Cashbook Wix'!$B$2:$B$7012,'Cashbook Wix'!$A$2:$A$7012,"PT_")</f>
        <v>0</v>
      </c>
      <c r="K39" s="148">
        <v>0</v>
      </c>
      <c r="L39" s="175">
        <f t="shared" si="23"/>
        <v>0</v>
      </c>
      <c r="M39" s="176">
        <f t="shared" si="21"/>
        <v>-112.5</v>
      </c>
      <c r="N39" s="5"/>
      <c r="O39" s="5"/>
      <c r="P39" s="5"/>
      <c r="Q39" s="5"/>
      <c r="R39" s="5"/>
      <c r="S39" s="5"/>
      <c r="T39" s="5"/>
      <c r="U39" s="5"/>
      <c r="V39" s="5"/>
      <c r="W39" s="5"/>
      <c r="X39" s="5"/>
      <c r="Y39" s="5"/>
      <c r="Z39" s="5"/>
      <c r="AA39" s="5"/>
      <c r="AB39" s="5"/>
    </row>
    <row r="40" spans="1:28" ht="30" customHeight="1" x14ac:dyDescent="0.3">
      <c r="A40" s="722"/>
      <c r="B40" s="523" t="s">
        <v>7582</v>
      </c>
      <c r="C40" s="432">
        <v>0</v>
      </c>
      <c r="D40" s="524">
        <v>5</v>
      </c>
      <c r="E40" s="432">
        <v>4</v>
      </c>
      <c r="F40" s="148">
        <f>E40*D40</f>
        <v>20</v>
      </c>
      <c r="G40" s="148">
        <v>0</v>
      </c>
      <c r="H40" s="171">
        <f t="shared" si="22"/>
        <v>20</v>
      </c>
      <c r="I40" s="148">
        <v>0</v>
      </c>
      <c r="J40" s="148">
        <f>SUMIFS('Cashbook Wix'!$B$2:$B$7012,'Cashbook Wix'!$A$2:$A$7012,"PT_")</f>
        <v>0</v>
      </c>
      <c r="K40" s="148">
        <v>0</v>
      </c>
      <c r="L40" s="175">
        <f t="shared" si="23"/>
        <v>0</v>
      </c>
      <c r="M40" s="176">
        <f t="shared" si="21"/>
        <v>-20</v>
      </c>
      <c r="N40" s="5"/>
      <c r="O40" s="5"/>
      <c r="P40" s="5"/>
      <c r="Q40" s="5"/>
      <c r="R40" s="5"/>
      <c r="S40" s="5"/>
      <c r="T40" s="5"/>
      <c r="U40" s="5"/>
      <c r="V40" s="5"/>
      <c r="W40" s="5"/>
      <c r="X40" s="5"/>
      <c r="Y40" s="5"/>
      <c r="Z40" s="5"/>
      <c r="AA40" s="5"/>
      <c r="AB40" s="5"/>
    </row>
    <row r="41" spans="1:28" ht="30" customHeight="1" x14ac:dyDescent="0.3">
      <c r="A41" s="725"/>
      <c r="B41" s="327" t="s">
        <v>7511</v>
      </c>
      <c r="C41" s="332">
        <f>SUM(C34:C40)</f>
        <v>495</v>
      </c>
      <c r="D41" s="359">
        <f t="shared" ref="D41:G41" si="25">SUM(D34:D40)</f>
        <v>90</v>
      </c>
      <c r="E41" s="332">
        <v>0</v>
      </c>
      <c r="F41" s="332">
        <f t="shared" si="25"/>
        <v>570.5</v>
      </c>
      <c r="G41" s="332">
        <f t="shared" si="25"/>
        <v>0</v>
      </c>
      <c r="H41" s="338">
        <f>SUM(H34:H40)</f>
        <v>75.5</v>
      </c>
      <c r="I41" s="332">
        <f>SUM(I34:I40)</f>
        <v>0</v>
      </c>
      <c r="J41" s="332">
        <f>SUM(J34:J40)</f>
        <v>0</v>
      </c>
      <c r="K41" s="332">
        <f t="shared" ref="K41:L41" si="26">SUM(K34:K40)</f>
        <v>0</v>
      </c>
      <c r="L41" s="338">
        <f t="shared" si="26"/>
        <v>0</v>
      </c>
      <c r="M41" s="477">
        <f>SUM(M34:M40)</f>
        <v>-75.5</v>
      </c>
      <c r="N41" s="5"/>
      <c r="O41" s="5"/>
      <c r="P41" s="5"/>
      <c r="Q41" s="5"/>
      <c r="R41" s="5"/>
      <c r="S41" s="5"/>
      <c r="T41" s="5"/>
      <c r="U41" s="5"/>
      <c r="V41" s="5"/>
      <c r="W41" s="5"/>
      <c r="X41" s="5"/>
      <c r="Y41" s="5"/>
      <c r="Z41" s="5"/>
      <c r="AA41" s="5"/>
      <c r="AB41" s="5"/>
    </row>
    <row r="42" spans="1:28" ht="26" customHeight="1" x14ac:dyDescent="0.3">
      <c r="A42" s="726" t="s">
        <v>7597</v>
      </c>
      <c r="B42" s="175" t="s">
        <v>7598</v>
      </c>
      <c r="C42" s="148">
        <f>175*19</f>
        <v>3325</v>
      </c>
      <c r="D42" s="149">
        <v>0</v>
      </c>
      <c r="E42" s="148">
        <v>0</v>
      </c>
      <c r="F42" s="148">
        <v>0</v>
      </c>
      <c r="G42" s="148">
        <v>0</v>
      </c>
      <c r="H42" s="171">
        <f t="shared" ref="H42:H48" si="27">F42+G42-C42</f>
        <v>-3325</v>
      </c>
      <c r="I42" s="148">
        <f>SUMIFS('Cashbook ING'!$B:$B, 'Cashbook ING'!$A:$A, "PT_BoatParty_Costs")</f>
        <v>-5772.36</v>
      </c>
      <c r="J42" s="148">
        <v>0</v>
      </c>
      <c r="K42" s="148">
        <v>0</v>
      </c>
      <c r="L42" s="395">
        <f>J42+K42+I42</f>
        <v>-5772.36</v>
      </c>
      <c r="M42" s="176">
        <f t="shared" si="1"/>
        <v>-2447.3599999999997</v>
      </c>
      <c r="N42" s="122"/>
      <c r="O42" s="6"/>
      <c r="P42" s="6"/>
      <c r="Q42" s="6"/>
      <c r="R42" s="6"/>
      <c r="S42" s="6"/>
      <c r="T42" s="6"/>
      <c r="U42" s="6"/>
      <c r="V42" s="6"/>
      <c r="W42" s="6"/>
      <c r="X42" s="6"/>
      <c r="Y42" s="6"/>
      <c r="Z42" s="6"/>
      <c r="AA42" s="6"/>
      <c r="AB42" s="6"/>
    </row>
    <row r="43" spans="1:28" ht="26" customHeight="1" x14ac:dyDescent="0.3">
      <c r="A43" s="727"/>
      <c r="B43" s="175" t="s">
        <v>7588</v>
      </c>
      <c r="C43" s="148">
        <v>300</v>
      </c>
      <c r="D43" s="149">
        <v>0</v>
      </c>
      <c r="E43" s="148">
        <v>0</v>
      </c>
      <c r="F43" s="148">
        <v>0</v>
      </c>
      <c r="G43" s="148">
        <v>0</v>
      </c>
      <c r="H43" s="171">
        <f t="shared" si="27"/>
        <v>-300</v>
      </c>
      <c r="I43" s="148">
        <f>SUMIFS('Cashbook ING'!$B:$B, 'Cashbook ING'!$A:$A, "PT_BoatParty_Security")</f>
        <v>-308.55</v>
      </c>
      <c r="J43" s="148">
        <v>0</v>
      </c>
      <c r="K43" s="148">
        <v>0</v>
      </c>
      <c r="L43" s="175">
        <f>K43+J43+I43</f>
        <v>-308.55</v>
      </c>
      <c r="M43" s="176">
        <f>L43-H43</f>
        <v>-8.5500000000000114</v>
      </c>
      <c r="N43" s="122"/>
      <c r="O43" s="6"/>
      <c r="P43" s="6"/>
      <c r="Q43" s="6"/>
      <c r="R43" s="6"/>
      <c r="S43" s="6"/>
      <c r="T43" s="6"/>
      <c r="U43" s="6"/>
      <c r="V43" s="6"/>
      <c r="W43" s="6"/>
      <c r="X43" s="6"/>
      <c r="Y43" s="6"/>
      <c r="Z43" s="6"/>
      <c r="AA43" s="6"/>
      <c r="AB43" s="6"/>
    </row>
    <row r="44" spans="1:28" ht="26" x14ac:dyDescent="0.3">
      <c r="A44" s="727"/>
      <c r="B44" s="175" t="s">
        <v>7584</v>
      </c>
      <c r="C44" s="148">
        <v>300</v>
      </c>
      <c r="D44" s="149">
        <v>0</v>
      </c>
      <c r="E44" s="148">
        <v>0</v>
      </c>
      <c r="F44" s="148">
        <v>0</v>
      </c>
      <c r="G44" s="148">
        <v>0</v>
      </c>
      <c r="H44" s="171">
        <f t="shared" si="27"/>
        <v>-300</v>
      </c>
      <c r="I44" s="148">
        <f>SUMIFS('Cashbook ING'!$B:$B, 'Cashbook ING'!$A:$A, "PT_BoatParty_DJ")</f>
        <v>-400</v>
      </c>
      <c r="J44" s="148">
        <v>0</v>
      </c>
      <c r="K44" s="148">
        <v>0</v>
      </c>
      <c r="L44" s="175">
        <f t="shared" ref="L44:L48" si="28">K44+J44+I44</f>
        <v>-400</v>
      </c>
      <c r="M44" s="176">
        <f t="shared" si="1"/>
        <v>-100</v>
      </c>
      <c r="N44" s="122"/>
      <c r="O44" s="6"/>
      <c r="P44" s="6"/>
      <c r="Q44" s="6"/>
      <c r="R44" s="6"/>
      <c r="S44" s="6"/>
      <c r="T44" s="6"/>
      <c r="U44" s="6"/>
      <c r="V44" s="6"/>
      <c r="W44" s="6"/>
      <c r="X44" s="6"/>
      <c r="Y44" s="6"/>
      <c r="Z44" s="6"/>
      <c r="AA44" s="6"/>
      <c r="AB44" s="6"/>
    </row>
    <row r="45" spans="1:28" ht="26" x14ac:dyDescent="0.3">
      <c r="A45" s="727"/>
      <c r="B45" s="175" t="s">
        <v>7538</v>
      </c>
      <c r="C45" s="148">
        <v>50</v>
      </c>
      <c r="D45" s="149">
        <v>0</v>
      </c>
      <c r="E45" s="148">
        <v>0</v>
      </c>
      <c r="F45" s="148">
        <v>0</v>
      </c>
      <c r="G45" s="148">
        <v>0</v>
      </c>
      <c r="H45" s="171">
        <f t="shared" si="27"/>
        <v>-50</v>
      </c>
      <c r="I45" s="148">
        <f>SUMIFS('Cashbook ING'!$B:$B, 'Cashbook ING'!$A:$A, "PT_")</f>
        <v>0</v>
      </c>
      <c r="J45" s="148">
        <v>0</v>
      </c>
      <c r="K45" s="148">
        <v>0</v>
      </c>
      <c r="L45" s="175">
        <f t="shared" si="28"/>
        <v>0</v>
      </c>
      <c r="M45" s="176">
        <f t="shared" si="1"/>
        <v>50</v>
      </c>
      <c r="N45" s="122"/>
      <c r="O45" s="6"/>
      <c r="P45" s="6"/>
      <c r="Q45" s="6"/>
      <c r="R45" s="6"/>
      <c r="S45" s="6"/>
      <c r="T45" s="6"/>
      <c r="U45" s="6"/>
      <c r="V45" s="6"/>
      <c r="W45" s="6"/>
      <c r="X45" s="6"/>
      <c r="Y45" s="6"/>
      <c r="Z45" s="6"/>
      <c r="AA45" s="6"/>
      <c r="AB45" s="6"/>
    </row>
    <row r="46" spans="1:28" ht="26" x14ac:dyDescent="0.3">
      <c r="A46" s="727"/>
      <c r="B46" s="175" t="s">
        <v>7599</v>
      </c>
      <c r="C46" s="432">
        <v>410</v>
      </c>
      <c r="D46" s="149">
        <v>0</v>
      </c>
      <c r="E46" s="148">
        <v>0</v>
      </c>
      <c r="F46" s="148">
        <v>0</v>
      </c>
      <c r="G46" s="148">
        <v>0</v>
      </c>
      <c r="H46" s="171">
        <f t="shared" si="27"/>
        <v>-410</v>
      </c>
      <c r="I46" s="148">
        <f>SUMIFS('Cashbook ING'!$B:$B, 'Cashbook ING'!$A:$A, "PT_")</f>
        <v>0</v>
      </c>
      <c r="J46" s="148">
        <v>0</v>
      </c>
      <c r="K46" s="148">
        <v>0</v>
      </c>
      <c r="L46" s="175">
        <f t="shared" si="28"/>
        <v>0</v>
      </c>
      <c r="M46" s="176">
        <f t="shared" si="1"/>
        <v>410</v>
      </c>
      <c r="N46" s="122"/>
      <c r="O46" s="6"/>
      <c r="P46" s="6"/>
      <c r="Q46" s="6"/>
      <c r="R46" s="6"/>
      <c r="S46" s="6"/>
      <c r="T46" s="6"/>
      <c r="U46" s="6"/>
      <c r="V46" s="6"/>
      <c r="W46" s="6"/>
      <c r="X46" s="6"/>
      <c r="Y46" s="6"/>
      <c r="Z46" s="6"/>
      <c r="AA46" s="6"/>
      <c r="AB46" s="6"/>
    </row>
    <row r="47" spans="1:28" ht="26" x14ac:dyDescent="0.3">
      <c r="A47" s="727"/>
      <c r="B47" s="175" t="s">
        <v>7509</v>
      </c>
      <c r="C47" s="148">
        <v>0</v>
      </c>
      <c r="D47" s="149">
        <v>170</v>
      </c>
      <c r="E47" s="148">
        <v>18</v>
      </c>
      <c r="F47" s="148">
        <f>E47*D47</f>
        <v>3060</v>
      </c>
      <c r="G47" s="148">
        <v>0</v>
      </c>
      <c r="H47" s="171">
        <f t="shared" si="27"/>
        <v>3060</v>
      </c>
      <c r="I47" s="148">
        <v>0</v>
      </c>
      <c r="J47" s="148">
        <f>SUMIFS('Cashbook Wix'!$B$2:$B$7012,'Cashbook Wix'!$A$2:$A$7012,"PT_BoatParty_Member")</f>
        <v>1253.7999999999995</v>
      </c>
      <c r="K47" s="148">
        <v>0</v>
      </c>
      <c r="L47" s="175">
        <f t="shared" si="28"/>
        <v>1253.7999999999995</v>
      </c>
      <c r="M47" s="176">
        <f t="shared" si="1"/>
        <v>-1806.2000000000005</v>
      </c>
      <c r="N47" s="122"/>
      <c r="O47" s="6"/>
      <c r="P47" s="6"/>
      <c r="Q47" s="6"/>
      <c r="R47" s="6"/>
      <c r="S47" s="6"/>
      <c r="T47" s="6"/>
      <c r="U47" s="6"/>
      <c r="V47" s="6"/>
      <c r="W47" s="6"/>
      <c r="X47" s="6"/>
      <c r="Y47" s="6"/>
      <c r="Z47" s="6"/>
      <c r="AA47" s="6"/>
      <c r="AB47" s="6"/>
    </row>
    <row r="48" spans="1:28" ht="26" x14ac:dyDescent="0.3">
      <c r="A48" s="727"/>
      <c r="B48" s="175" t="s">
        <v>7510</v>
      </c>
      <c r="C48" s="148">
        <v>0</v>
      </c>
      <c r="D48" s="149">
        <v>5</v>
      </c>
      <c r="E48" s="148">
        <v>20</v>
      </c>
      <c r="F48" s="148">
        <f>E48*D48</f>
        <v>100</v>
      </c>
      <c r="G48" s="148">
        <v>0</v>
      </c>
      <c r="H48" s="171">
        <f t="shared" si="27"/>
        <v>100</v>
      </c>
      <c r="I48" s="148">
        <v>0</v>
      </c>
      <c r="J48" s="148">
        <f>SUMIFS('Cashbook Wix'!$B$2:$B$7012,'Cashbook Wix'!$A$2:$A$7012,"PT_BoatParty_NonMember")</f>
        <v>264.62</v>
      </c>
      <c r="K48" s="148">
        <v>0</v>
      </c>
      <c r="L48" s="175">
        <f t="shared" si="28"/>
        <v>264.62</v>
      </c>
      <c r="M48" s="176">
        <f t="shared" si="1"/>
        <v>164.62</v>
      </c>
      <c r="N48" s="122"/>
      <c r="O48" s="6"/>
      <c r="P48" s="6"/>
      <c r="Q48" s="6"/>
      <c r="R48" s="6"/>
      <c r="S48" s="6"/>
      <c r="T48" s="6"/>
      <c r="U48" s="6"/>
      <c r="V48" s="6"/>
      <c r="W48" s="6"/>
      <c r="X48" s="6"/>
      <c r="Y48" s="6"/>
      <c r="Z48" s="6"/>
      <c r="AA48" s="6"/>
      <c r="AB48" s="6"/>
    </row>
    <row r="49" spans="1:28" ht="26" customHeight="1" x14ac:dyDescent="0.3">
      <c r="A49" s="728"/>
      <c r="B49" s="474" t="s">
        <v>7511</v>
      </c>
      <c r="C49" s="367">
        <f>SUM(C42:C48)</f>
        <v>4385</v>
      </c>
      <c r="D49" s="393">
        <f>SUM(D42:D48)</f>
        <v>175</v>
      </c>
      <c r="E49" s="367">
        <v>0</v>
      </c>
      <c r="F49" s="367">
        <f>SUM(F42:F48)</f>
        <v>3160</v>
      </c>
      <c r="G49" s="367">
        <f>SUM(G42:G48)</f>
        <v>0</v>
      </c>
      <c r="H49" s="475">
        <f>SUM(H42:H48)</f>
        <v>-1225</v>
      </c>
      <c r="I49" s="367">
        <f>SUM(I42:I48)</f>
        <v>-6480.91</v>
      </c>
      <c r="J49" s="367">
        <f>SUM(J42:J48)</f>
        <v>1518.4199999999996</v>
      </c>
      <c r="K49" s="367">
        <f>SUM(K42)</f>
        <v>0</v>
      </c>
      <c r="L49" s="475">
        <f>SUM(L42:L48)</f>
        <v>-4962.4900000000007</v>
      </c>
      <c r="M49" s="478">
        <f>SUM(M42:M48)</f>
        <v>-3737.4900000000007</v>
      </c>
      <c r="N49" s="122"/>
      <c r="O49" s="6"/>
      <c r="P49" s="6"/>
      <c r="Q49" s="6"/>
      <c r="R49" s="6"/>
      <c r="S49" s="6"/>
      <c r="T49" s="6"/>
      <c r="U49" s="6"/>
      <c r="V49" s="6"/>
      <c r="W49" s="6"/>
      <c r="X49" s="6"/>
      <c r="Y49" s="6"/>
      <c r="Z49" s="6"/>
      <c r="AA49" s="6"/>
      <c r="AB49" s="6"/>
    </row>
    <row r="50" spans="1:28" s="179" customFormat="1" ht="30" customHeight="1" x14ac:dyDescent="0.35">
      <c r="A50" s="177"/>
      <c r="B50" s="473" t="s">
        <v>7443</v>
      </c>
      <c r="C50" s="408">
        <f>SUM(C33+C24+C19+C15+C8+C49)</f>
        <v>16065</v>
      </c>
      <c r="D50" s="410">
        <f>SUM(D33+D24+D19+D15+D8+D49)</f>
        <v>1180</v>
      </c>
      <c r="E50" s="408">
        <f>SUM(E33+E24+E19+E15+E8+E49+E41)</f>
        <v>0</v>
      </c>
      <c r="F50" s="408">
        <f>SUM(F33+F24+F19+F15+F8+F49)</f>
        <v>12842.5</v>
      </c>
      <c r="G50" s="408">
        <f>SUM(G33+G24+G19+G15+G8+G49+G41)</f>
        <v>0</v>
      </c>
      <c r="H50" s="409">
        <f>SUM(H33+H24+H19+H15+H8+H49)</f>
        <v>-3222.5</v>
      </c>
      <c r="I50" s="408">
        <f>SUM(I33+I24+I19+I15+I8+I49+I41)</f>
        <v>-18274.61</v>
      </c>
      <c r="J50" s="408">
        <f>SUM(J33+J24+J19+J15+J8+J49+J41)</f>
        <v>11400.579999999985</v>
      </c>
      <c r="K50" s="408">
        <f>SUM(K33+K24+K19+K15+K8+K49+K41)</f>
        <v>0</v>
      </c>
      <c r="L50" s="409">
        <f>SUM(L33+L24+L19+L15+L8+L49+L41)</f>
        <v>-6874.0300000000152</v>
      </c>
      <c r="M50" s="476">
        <f>SUM(M33+M24+M19+M15+M8+M49)</f>
        <v>-3651.5300000000157</v>
      </c>
      <c r="N50" s="178"/>
      <c r="O50" s="178"/>
      <c r="P50" s="178"/>
      <c r="Q50" s="178"/>
      <c r="R50" s="178"/>
      <c r="S50" s="178"/>
      <c r="T50" s="178"/>
      <c r="U50" s="178"/>
      <c r="V50" s="178"/>
      <c r="W50" s="178"/>
      <c r="X50" s="178"/>
      <c r="Y50" s="178"/>
      <c r="Z50" s="178"/>
      <c r="AA50" s="178"/>
      <c r="AB50" s="178"/>
    </row>
    <row r="51" spans="1:28" ht="30" customHeight="1" x14ac:dyDescent="0.2">
      <c r="N51" s="5"/>
      <c r="O51" s="5"/>
      <c r="P51" s="5"/>
      <c r="Q51" s="5"/>
      <c r="R51" s="5"/>
      <c r="S51" s="5"/>
      <c r="T51" s="5"/>
      <c r="U51" s="5"/>
      <c r="V51" s="5"/>
      <c r="W51" s="5"/>
      <c r="X51" s="5"/>
      <c r="Y51" s="5"/>
      <c r="Z51" s="5"/>
      <c r="AA51" s="5"/>
      <c r="AB51" s="5"/>
    </row>
    <row r="52" spans="1:28" ht="26" x14ac:dyDescent="0.3">
      <c r="B52" s="124"/>
      <c r="D52" s="41"/>
      <c r="N52" s="5"/>
      <c r="O52" s="5"/>
      <c r="P52" s="5"/>
      <c r="Q52" s="5"/>
      <c r="R52" s="5"/>
      <c r="S52" s="5"/>
      <c r="T52" s="5"/>
      <c r="U52" s="5"/>
      <c r="V52" s="5"/>
      <c r="W52" s="5"/>
      <c r="X52" s="5"/>
      <c r="Y52" s="5"/>
      <c r="Z52" s="5"/>
      <c r="AA52" s="5"/>
      <c r="AB52" s="5"/>
    </row>
    <row r="53" spans="1:28" x14ac:dyDescent="0.2">
      <c r="N53" s="5"/>
      <c r="O53" s="5"/>
      <c r="P53" s="5"/>
      <c r="Q53" s="5"/>
      <c r="R53" s="5"/>
      <c r="S53" s="5"/>
      <c r="T53" s="5"/>
      <c r="U53" s="5"/>
      <c r="V53" s="5"/>
      <c r="W53" s="5"/>
      <c r="X53" s="5"/>
      <c r="Y53" s="5"/>
      <c r="Z53" s="5"/>
      <c r="AA53" s="5"/>
      <c r="AB53" s="5"/>
    </row>
    <row r="54" spans="1:28" x14ac:dyDescent="0.2">
      <c r="N54" s="5"/>
      <c r="O54" s="5"/>
      <c r="P54" s="5"/>
      <c r="Q54" s="5"/>
      <c r="R54" s="5"/>
      <c r="S54" s="5"/>
      <c r="T54" s="5"/>
      <c r="U54" s="5"/>
      <c r="V54" s="5"/>
      <c r="W54" s="5"/>
      <c r="X54" s="5"/>
      <c r="Y54" s="5"/>
      <c r="Z54" s="5"/>
      <c r="AA54" s="5"/>
      <c r="AB54" s="5"/>
    </row>
    <row r="55" spans="1:28" x14ac:dyDescent="0.2">
      <c r="N55" s="5"/>
      <c r="O55" s="5"/>
      <c r="P55" s="5"/>
      <c r="Q55" s="5"/>
      <c r="R55" s="5"/>
      <c r="S55" s="5"/>
      <c r="T55" s="5"/>
      <c r="U55" s="5"/>
      <c r="V55" s="5"/>
      <c r="W55" s="5"/>
      <c r="X55" s="5"/>
      <c r="Y55" s="5"/>
      <c r="Z55" s="5"/>
      <c r="AA55" s="5"/>
      <c r="AB55" s="5"/>
    </row>
    <row r="56" spans="1:28" ht="26" x14ac:dyDescent="0.3">
      <c r="B56" s="722" t="s">
        <v>7600</v>
      </c>
      <c r="C56" s="148" t="s">
        <v>7601</v>
      </c>
      <c r="D56" s="148">
        <v>700</v>
      </c>
      <c r="E56" s="149">
        <v>0</v>
      </c>
      <c r="F56" s="148">
        <v>0</v>
      </c>
      <c r="G56" s="148">
        <f t="shared" ref="G56:G61" si="29">F56*E56</f>
        <v>0</v>
      </c>
      <c r="H56" s="148">
        <v>0</v>
      </c>
      <c r="I56" s="171">
        <f t="shared" ref="I56:I59" si="30">G56+H56-D56</f>
        <v>-700</v>
      </c>
      <c r="J56" s="148">
        <f>SUMIFS('Cashbook ING'!$B:$B, 'Cashbook ING'!$A:$A, "PT_")*-1</f>
        <v>0</v>
      </c>
      <c r="K56" s="148">
        <v>0</v>
      </c>
      <c r="L56" s="148">
        <v>0</v>
      </c>
      <c r="M56" s="175">
        <f t="shared" ref="M56:M61" si="31">K56+L56-J56</f>
        <v>0</v>
      </c>
      <c r="N56" s="176">
        <f t="shared" ref="N56:N61" si="32">M56-I56</f>
        <v>700</v>
      </c>
      <c r="O56" s="5"/>
      <c r="P56" s="5"/>
      <c r="Q56" s="5"/>
      <c r="R56" s="5"/>
      <c r="S56" s="5"/>
      <c r="T56" s="5"/>
      <c r="U56" s="5"/>
      <c r="V56" s="5"/>
      <c r="W56" s="5"/>
      <c r="X56" s="5"/>
      <c r="Y56" s="5"/>
      <c r="Z56" s="5"/>
      <c r="AA56" s="5"/>
      <c r="AB56" s="5"/>
    </row>
    <row r="57" spans="1:28" ht="26" x14ac:dyDescent="0.3">
      <c r="B57" s="722"/>
      <c r="C57" s="148" t="s">
        <v>7584</v>
      </c>
      <c r="D57" s="148">
        <v>250</v>
      </c>
      <c r="E57" s="149">
        <v>0</v>
      </c>
      <c r="F57" s="148">
        <v>0</v>
      </c>
      <c r="G57" s="148">
        <f t="shared" si="29"/>
        <v>0</v>
      </c>
      <c r="H57" s="148">
        <v>0</v>
      </c>
      <c r="I57" s="171">
        <f t="shared" si="30"/>
        <v>-250</v>
      </c>
      <c r="J57" s="148">
        <f>SUMIFS('Cashbook ING'!$B:$B, 'Cashbook ING'!$A:$A, "PT_")*-1</f>
        <v>0</v>
      </c>
      <c r="K57" s="148">
        <v>0</v>
      </c>
      <c r="L57" s="148">
        <v>0</v>
      </c>
      <c r="M57" s="175">
        <f t="shared" si="31"/>
        <v>0</v>
      </c>
      <c r="N57" s="176">
        <f t="shared" si="32"/>
        <v>250</v>
      </c>
      <c r="O57" s="5"/>
      <c r="P57" s="5"/>
      <c r="Q57" s="5"/>
      <c r="R57" s="5"/>
      <c r="S57" s="5"/>
      <c r="T57" s="5"/>
      <c r="U57" s="5"/>
      <c r="V57" s="5"/>
      <c r="W57" s="5"/>
      <c r="X57" s="5"/>
      <c r="Y57" s="5"/>
      <c r="Z57" s="5"/>
      <c r="AA57" s="5"/>
      <c r="AB57" s="5"/>
    </row>
    <row r="58" spans="1:28" ht="26" x14ac:dyDescent="0.3">
      <c r="B58" s="722"/>
      <c r="C58" s="148" t="s">
        <v>7592</v>
      </c>
      <c r="D58" s="148">
        <v>0</v>
      </c>
      <c r="E58" s="149">
        <v>0</v>
      </c>
      <c r="F58" s="148">
        <v>0</v>
      </c>
      <c r="G58" s="148">
        <v>0</v>
      </c>
      <c r="H58" s="148">
        <v>0</v>
      </c>
      <c r="I58" s="171">
        <f t="shared" si="30"/>
        <v>0</v>
      </c>
      <c r="J58" s="148">
        <f>SUMIFS('Cashbook ING'!$B:$B, 'Cashbook ING'!$A:$A, "PT_")*-1</f>
        <v>0</v>
      </c>
      <c r="K58" s="148">
        <f>SUMIFS('Cashbook ING'!$B:$B, 'Cashbook ING'!$A:$A, "PT_")*-1</f>
        <v>0</v>
      </c>
      <c r="L58" s="148">
        <f>SUMIFS('Cashbook ING'!$B:$B, 'Cashbook ING'!$A:$A, "PT_")*-1</f>
        <v>0</v>
      </c>
      <c r="M58" s="175">
        <f t="shared" si="31"/>
        <v>0</v>
      </c>
      <c r="N58" s="176">
        <f t="shared" si="32"/>
        <v>0</v>
      </c>
      <c r="O58" s="5"/>
      <c r="P58" s="5"/>
      <c r="Q58" s="5"/>
      <c r="R58" s="5"/>
      <c r="S58" s="5"/>
      <c r="T58" s="5"/>
      <c r="U58" s="5"/>
      <c r="V58" s="5"/>
      <c r="W58" s="5"/>
      <c r="X58" s="5"/>
      <c r="Y58" s="5"/>
      <c r="Z58" s="5"/>
      <c r="AA58" s="5"/>
      <c r="AB58" s="5"/>
    </row>
    <row r="59" spans="1:28" ht="26" x14ac:dyDescent="0.3">
      <c r="B59" s="722"/>
      <c r="C59" s="148" t="s">
        <v>7602</v>
      </c>
      <c r="D59" s="151">
        <v>0</v>
      </c>
      <c r="E59" s="149">
        <v>0</v>
      </c>
      <c r="F59" s="148">
        <v>0</v>
      </c>
      <c r="G59" s="148">
        <f t="shared" si="29"/>
        <v>0</v>
      </c>
      <c r="H59" s="148">
        <v>0</v>
      </c>
      <c r="I59" s="171">
        <f t="shared" si="30"/>
        <v>0</v>
      </c>
      <c r="J59" s="148">
        <f>SUMIFS('Cashbook ING'!$B:$B, 'Cashbook ING'!$A:$A, "PT_")*-1</f>
        <v>0</v>
      </c>
      <c r="K59" s="148">
        <v>0</v>
      </c>
      <c r="L59" s="148">
        <v>0</v>
      </c>
      <c r="M59" s="175">
        <f t="shared" si="31"/>
        <v>0</v>
      </c>
      <c r="N59" s="176">
        <f t="shared" si="32"/>
        <v>0</v>
      </c>
      <c r="O59" s="5"/>
      <c r="P59" s="5"/>
      <c r="Q59" s="5"/>
      <c r="R59" s="5"/>
      <c r="S59" s="5"/>
      <c r="T59" s="5"/>
      <c r="U59" s="5"/>
      <c r="V59" s="5"/>
      <c r="W59" s="5"/>
      <c r="X59" s="5"/>
      <c r="Y59" s="5"/>
      <c r="Z59" s="5"/>
      <c r="AA59" s="5"/>
      <c r="AB59" s="5"/>
    </row>
    <row r="60" spans="1:28" ht="26" x14ac:dyDescent="0.3">
      <c r="B60" s="722"/>
      <c r="C60" s="148" t="s">
        <v>7509</v>
      </c>
      <c r="D60" s="148">
        <v>0</v>
      </c>
      <c r="E60" s="149">
        <v>200</v>
      </c>
      <c r="F60" s="148">
        <v>8</v>
      </c>
      <c r="G60" s="148">
        <f t="shared" si="29"/>
        <v>1600</v>
      </c>
      <c r="H60" s="148">
        <v>0</v>
      </c>
      <c r="I60" s="171">
        <f>G60+H60-D60</f>
        <v>1600</v>
      </c>
      <c r="J60" s="148">
        <v>0</v>
      </c>
      <c r="K60" s="148">
        <f>SUMIFS('Cashbook Wix'!$B$2:$B$7012,'Cashbook Wix'!$A$2:$A$7012,"PT_")</f>
        <v>0</v>
      </c>
      <c r="L60" s="148">
        <v>0</v>
      </c>
      <c r="M60" s="175">
        <f t="shared" si="31"/>
        <v>0</v>
      </c>
      <c r="N60" s="176">
        <f t="shared" si="32"/>
        <v>-1600</v>
      </c>
      <c r="O60" s="5"/>
      <c r="P60" s="5"/>
      <c r="Q60" s="5"/>
      <c r="R60" s="5"/>
      <c r="S60" s="5"/>
      <c r="T60" s="5"/>
      <c r="U60" s="5"/>
      <c r="V60" s="5"/>
      <c r="W60" s="5"/>
      <c r="X60" s="5"/>
      <c r="Y60" s="5"/>
      <c r="Z60" s="5"/>
      <c r="AA60" s="5"/>
      <c r="AB60" s="5"/>
    </row>
    <row r="61" spans="1:28" ht="26" x14ac:dyDescent="0.3">
      <c r="A61" s="7"/>
      <c r="B61" s="722"/>
      <c r="C61" s="148" t="s">
        <v>7510</v>
      </c>
      <c r="D61" s="148">
        <v>0</v>
      </c>
      <c r="E61" s="149">
        <v>20</v>
      </c>
      <c r="F61" s="148">
        <v>10</v>
      </c>
      <c r="G61" s="148">
        <f t="shared" si="29"/>
        <v>200</v>
      </c>
      <c r="H61" s="148">
        <v>0</v>
      </c>
      <c r="I61" s="171">
        <f>G61+H61-D61</f>
        <v>200</v>
      </c>
      <c r="J61" s="148">
        <v>0</v>
      </c>
      <c r="K61" s="148">
        <f>SUMIFS('Cashbook Wix'!$B$2:$B$7012,'Cashbook Wix'!$A$2:$A$7012,"PT_")</f>
        <v>0</v>
      </c>
      <c r="L61" s="148">
        <v>0</v>
      </c>
      <c r="M61" s="175">
        <f t="shared" si="31"/>
        <v>0</v>
      </c>
      <c r="N61" s="176">
        <f t="shared" si="32"/>
        <v>-200</v>
      </c>
      <c r="O61" s="5"/>
      <c r="P61" s="5"/>
      <c r="Q61" s="5"/>
      <c r="R61" s="5"/>
      <c r="S61" s="5"/>
      <c r="T61" s="5"/>
      <c r="U61" s="5"/>
      <c r="V61" s="5"/>
      <c r="W61" s="5"/>
      <c r="X61" s="5"/>
      <c r="Y61" s="5"/>
      <c r="Z61" s="5"/>
      <c r="AA61" s="5"/>
      <c r="AB61" s="5"/>
    </row>
    <row r="62" spans="1:28" ht="26" x14ac:dyDescent="0.3">
      <c r="A62" s="7"/>
      <c r="B62" s="723"/>
      <c r="C62" s="320" t="s">
        <v>7511</v>
      </c>
      <c r="D62" s="322">
        <f>SUM(D56:D61)</f>
        <v>950</v>
      </c>
      <c r="E62" s="321">
        <f>SUM(E56:E61)</f>
        <v>220</v>
      </c>
      <c r="F62" s="320">
        <f>(F60*E60)+F61*E61</f>
        <v>1800</v>
      </c>
      <c r="G62" s="322">
        <f t="shared" ref="G62:N62" si="33">SUM(G56:G61)</f>
        <v>1800</v>
      </c>
      <c r="H62" s="320">
        <f t="shared" si="33"/>
        <v>0</v>
      </c>
      <c r="I62" s="323">
        <f t="shared" si="33"/>
        <v>850</v>
      </c>
      <c r="J62" s="322">
        <f t="shared" si="33"/>
        <v>0</v>
      </c>
      <c r="K62" s="322">
        <f t="shared" si="33"/>
        <v>0</v>
      </c>
      <c r="L62" s="322">
        <f t="shared" si="33"/>
        <v>0</v>
      </c>
      <c r="M62" s="323">
        <f t="shared" si="33"/>
        <v>0</v>
      </c>
      <c r="N62" s="323">
        <f t="shared" si="33"/>
        <v>-850</v>
      </c>
      <c r="O62" s="5"/>
      <c r="P62" s="5"/>
      <c r="Q62" s="5"/>
      <c r="R62" s="5"/>
      <c r="S62" s="5"/>
      <c r="T62" s="5"/>
      <c r="U62" s="5"/>
      <c r="V62" s="5"/>
      <c r="W62" s="5"/>
      <c r="X62" s="5"/>
      <c r="Y62" s="5"/>
      <c r="Z62" s="5"/>
      <c r="AA62" s="5"/>
      <c r="AB62" s="5"/>
    </row>
    <row r="63" spans="1:28" x14ac:dyDescent="0.2">
      <c r="A63" s="7"/>
      <c r="B63" s="5"/>
      <c r="C63" s="5"/>
      <c r="D63" s="5"/>
      <c r="E63" s="5"/>
      <c r="F63" s="5"/>
      <c r="G63" s="5"/>
      <c r="H63" s="5"/>
      <c r="I63" s="5"/>
      <c r="J63" s="5"/>
      <c r="K63" s="5"/>
      <c r="L63" s="5"/>
      <c r="M63" s="5"/>
      <c r="N63" s="5"/>
      <c r="O63" s="5"/>
      <c r="P63" s="5"/>
      <c r="Q63" s="5"/>
      <c r="R63" s="5"/>
      <c r="S63" s="5"/>
      <c r="T63" s="5"/>
      <c r="U63" s="5"/>
      <c r="V63" s="5"/>
      <c r="W63" s="5"/>
      <c r="X63" s="5"/>
      <c r="Y63" s="5"/>
      <c r="Z63" s="5"/>
      <c r="AA63" s="5"/>
      <c r="AB63" s="5"/>
    </row>
    <row r="64" spans="1:28" x14ac:dyDescent="0.2">
      <c r="A64" s="7"/>
      <c r="B64" s="5"/>
      <c r="C64" s="5"/>
      <c r="D64" s="5"/>
      <c r="E64" s="5"/>
      <c r="F64" s="5"/>
      <c r="G64" s="5"/>
      <c r="H64" s="5"/>
      <c r="I64" s="5"/>
      <c r="J64" s="5"/>
      <c r="K64" s="5"/>
      <c r="L64" s="5"/>
      <c r="M64" s="5"/>
      <c r="N64" s="5"/>
      <c r="O64" s="5"/>
      <c r="P64" s="5"/>
      <c r="Q64" s="5"/>
      <c r="R64" s="5"/>
      <c r="S64" s="5"/>
      <c r="T64" s="5"/>
      <c r="U64" s="5"/>
      <c r="V64" s="5"/>
      <c r="W64" s="5"/>
      <c r="X64" s="5"/>
      <c r="Y64" s="5"/>
      <c r="Z64" s="5"/>
      <c r="AA64" s="5"/>
      <c r="AB64" s="5"/>
    </row>
    <row r="65" spans="1:28" x14ac:dyDescent="0.2">
      <c r="A65" s="7"/>
      <c r="B65" s="5"/>
      <c r="C65" s="5"/>
      <c r="D65" s="5"/>
      <c r="E65" s="5"/>
      <c r="F65" s="5"/>
      <c r="G65" s="5"/>
      <c r="H65" s="5"/>
      <c r="I65" s="5"/>
      <c r="J65" s="5"/>
      <c r="K65" s="5"/>
      <c r="L65" s="5"/>
      <c r="M65" s="5"/>
      <c r="N65" s="5"/>
      <c r="O65" s="5"/>
      <c r="P65" s="5"/>
      <c r="Q65" s="5"/>
      <c r="R65" s="5"/>
      <c r="S65" s="5"/>
      <c r="T65" s="5"/>
      <c r="U65" s="5"/>
      <c r="V65" s="5"/>
      <c r="W65" s="5"/>
      <c r="X65" s="5"/>
      <c r="Y65" s="5"/>
      <c r="Z65" s="5"/>
      <c r="AA65" s="5"/>
      <c r="AB65" s="5"/>
    </row>
    <row r="66" spans="1:28" x14ac:dyDescent="0.2">
      <c r="A66" s="7"/>
      <c r="B66" s="5"/>
      <c r="C66" s="5"/>
      <c r="D66" s="5"/>
      <c r="E66" s="5"/>
      <c r="F66" s="5"/>
      <c r="G66" s="5"/>
      <c r="H66" s="5"/>
      <c r="I66" s="5"/>
      <c r="J66" s="5"/>
      <c r="K66" s="5"/>
      <c r="L66" s="5"/>
      <c r="M66" s="5"/>
      <c r="N66" s="5"/>
      <c r="O66" s="5"/>
      <c r="P66" s="5"/>
      <c r="Q66" s="5"/>
      <c r="R66" s="5"/>
      <c r="S66" s="5"/>
      <c r="T66" s="5"/>
      <c r="U66" s="5"/>
      <c r="V66" s="5"/>
      <c r="W66" s="5"/>
      <c r="X66" s="5"/>
      <c r="Y66" s="5"/>
      <c r="Z66" s="5"/>
      <c r="AA66" s="5"/>
      <c r="AB66" s="5"/>
    </row>
    <row r="67" spans="1:28" x14ac:dyDescent="0.2">
      <c r="A67" s="7"/>
      <c r="B67" s="5"/>
      <c r="C67" s="5"/>
      <c r="D67" s="5"/>
      <c r="E67" s="5"/>
      <c r="F67" s="5"/>
      <c r="G67" s="5"/>
      <c r="H67" s="5"/>
      <c r="I67" s="5"/>
      <c r="J67" s="5"/>
      <c r="K67" s="5"/>
      <c r="L67" s="5"/>
      <c r="M67" s="5"/>
      <c r="N67" s="5"/>
      <c r="O67" s="5"/>
      <c r="P67" s="5"/>
      <c r="Q67" s="5"/>
      <c r="R67" s="5"/>
      <c r="S67" s="5"/>
      <c r="T67" s="5"/>
      <c r="U67" s="5"/>
      <c r="V67" s="5"/>
      <c r="W67" s="5"/>
      <c r="X67" s="5"/>
      <c r="Y67" s="5"/>
      <c r="Z67" s="5"/>
      <c r="AA67" s="5"/>
      <c r="AB67" s="5"/>
    </row>
    <row r="68" spans="1:28" x14ac:dyDescent="0.2">
      <c r="A68" s="7"/>
      <c r="B68" s="5"/>
      <c r="C68" s="5"/>
      <c r="D68" s="5"/>
      <c r="E68" s="5"/>
      <c r="F68" s="5"/>
      <c r="G68" s="5"/>
      <c r="H68" s="5"/>
      <c r="I68" s="5"/>
      <c r="J68" s="5"/>
      <c r="K68" s="5"/>
      <c r="L68" s="5"/>
      <c r="M68" s="5"/>
      <c r="N68" s="5"/>
      <c r="O68" s="5"/>
      <c r="P68" s="5"/>
      <c r="Q68" s="5"/>
      <c r="R68" s="5"/>
      <c r="S68" s="5"/>
      <c r="T68" s="5"/>
      <c r="U68" s="5"/>
      <c r="V68" s="5"/>
      <c r="W68" s="5"/>
      <c r="X68" s="5"/>
      <c r="Y68" s="5"/>
      <c r="Z68" s="5"/>
      <c r="AA68" s="5"/>
      <c r="AB68" s="5"/>
    </row>
    <row r="69" spans="1:28" x14ac:dyDescent="0.2">
      <c r="A69" s="7"/>
      <c r="B69" s="5"/>
      <c r="C69" s="5"/>
      <c r="D69" s="5"/>
      <c r="E69" s="5"/>
      <c r="F69" s="5"/>
      <c r="G69" s="5"/>
      <c r="H69" s="5"/>
      <c r="I69" s="5"/>
      <c r="J69" s="5"/>
      <c r="K69" s="5"/>
      <c r="L69" s="5"/>
      <c r="M69" s="5"/>
      <c r="N69" s="5"/>
      <c r="O69" s="5"/>
      <c r="P69" s="5"/>
      <c r="Q69" s="5"/>
      <c r="R69" s="5"/>
      <c r="S69" s="5"/>
      <c r="T69" s="5"/>
      <c r="U69" s="5"/>
      <c r="V69" s="5"/>
      <c r="W69" s="5"/>
      <c r="X69" s="5"/>
      <c r="Y69" s="5"/>
      <c r="Z69" s="5"/>
      <c r="AA69" s="5"/>
      <c r="AB69" s="5"/>
    </row>
    <row r="70" spans="1:28" x14ac:dyDescent="0.2">
      <c r="A70" s="7"/>
      <c r="B70" s="5"/>
      <c r="C70" s="5"/>
      <c r="D70" s="5"/>
      <c r="E70" s="5"/>
      <c r="F70" s="5"/>
      <c r="G70" s="5"/>
      <c r="H70" s="5"/>
      <c r="I70" s="5"/>
      <c r="J70" s="5"/>
      <c r="K70" s="5"/>
      <c r="L70" s="5"/>
      <c r="M70" s="5"/>
      <c r="N70" s="5"/>
      <c r="O70" s="5"/>
      <c r="P70" s="5"/>
      <c r="Q70" s="5"/>
      <c r="R70" s="5"/>
      <c r="S70" s="5"/>
      <c r="T70" s="5"/>
      <c r="U70" s="5"/>
      <c r="V70" s="5"/>
      <c r="W70" s="5"/>
      <c r="X70" s="5"/>
      <c r="Y70" s="5"/>
      <c r="Z70" s="5"/>
      <c r="AA70" s="5"/>
      <c r="AB70" s="5"/>
    </row>
    <row r="71" spans="1:28" x14ac:dyDescent="0.2">
      <c r="A71" s="7"/>
      <c r="B71" s="5"/>
      <c r="C71" s="5"/>
      <c r="D71" s="5"/>
      <c r="E71" s="5"/>
      <c r="F71" s="5"/>
      <c r="G71" s="5"/>
      <c r="H71" s="5"/>
      <c r="I71" s="5"/>
      <c r="J71" s="5"/>
      <c r="K71" s="5"/>
      <c r="L71" s="5"/>
      <c r="M71" s="5"/>
      <c r="N71" s="5"/>
      <c r="O71" s="5"/>
      <c r="P71" s="5"/>
      <c r="Q71" s="5"/>
      <c r="R71" s="5"/>
      <c r="S71" s="5"/>
      <c r="T71" s="5"/>
      <c r="U71" s="5"/>
      <c r="V71" s="5"/>
      <c r="W71" s="5"/>
      <c r="X71" s="5"/>
      <c r="Y71" s="5"/>
      <c r="Z71" s="5"/>
      <c r="AA71" s="5"/>
      <c r="AB71" s="5"/>
    </row>
    <row r="72" spans="1:28" x14ac:dyDescent="0.2">
      <c r="A72" s="7"/>
      <c r="B72" s="5"/>
      <c r="C72" s="5"/>
      <c r="D72" s="5"/>
      <c r="E72" s="5"/>
      <c r="F72" s="5"/>
      <c r="G72" s="5"/>
      <c r="H72" s="5"/>
      <c r="I72" s="5"/>
      <c r="J72" s="5"/>
      <c r="K72" s="5"/>
      <c r="L72" s="5"/>
      <c r="M72" s="5"/>
      <c r="N72" s="5"/>
      <c r="O72" s="5"/>
      <c r="P72" s="5"/>
      <c r="Q72" s="5"/>
      <c r="R72" s="5"/>
      <c r="S72" s="5"/>
      <c r="T72" s="5"/>
      <c r="U72" s="5"/>
      <c r="V72" s="5"/>
      <c r="W72" s="5"/>
      <c r="X72" s="5"/>
      <c r="Y72" s="5"/>
      <c r="Z72" s="5"/>
      <c r="AA72" s="5"/>
      <c r="AB72" s="5"/>
    </row>
    <row r="73" spans="1:28" x14ac:dyDescent="0.2">
      <c r="A73" s="7"/>
      <c r="B73" s="5"/>
      <c r="C73" s="5"/>
      <c r="D73" s="5"/>
      <c r="E73" s="5"/>
      <c r="F73" s="5"/>
      <c r="G73" s="5"/>
      <c r="H73" s="5"/>
      <c r="I73" s="5"/>
      <c r="J73" s="5"/>
      <c r="K73" s="5"/>
      <c r="L73" s="5"/>
      <c r="M73" s="5"/>
      <c r="N73" s="5"/>
      <c r="O73" s="5"/>
      <c r="P73" s="5"/>
      <c r="Q73" s="5"/>
      <c r="R73" s="5"/>
      <c r="S73" s="5"/>
      <c r="T73" s="5"/>
      <c r="U73" s="5"/>
      <c r="V73" s="5"/>
      <c r="W73" s="5"/>
      <c r="X73" s="5"/>
      <c r="Y73" s="5"/>
      <c r="Z73" s="5"/>
      <c r="AA73" s="5"/>
      <c r="AB73" s="5"/>
    </row>
    <row r="74" spans="1:28" x14ac:dyDescent="0.2">
      <c r="A74" s="7"/>
      <c r="B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28" x14ac:dyDescent="0.2">
      <c r="A75" s="7"/>
      <c r="B75" s="5"/>
      <c r="C75" s="5"/>
      <c r="D75" s="5"/>
      <c r="E75" s="5"/>
      <c r="F75" s="5"/>
      <c r="G75" s="5"/>
      <c r="H75" s="5"/>
      <c r="I75" s="5"/>
      <c r="J75" s="5"/>
      <c r="K75" s="5"/>
      <c r="L75" s="5"/>
      <c r="M75" s="5"/>
      <c r="N75" s="5"/>
      <c r="O75" s="5"/>
      <c r="P75" s="5"/>
      <c r="Q75" s="5"/>
      <c r="R75" s="5"/>
      <c r="S75" s="5"/>
      <c r="T75" s="5"/>
      <c r="U75" s="5"/>
      <c r="V75" s="5"/>
      <c r="W75" s="5"/>
      <c r="X75" s="5"/>
      <c r="Y75" s="5"/>
      <c r="Z75" s="5"/>
      <c r="AA75" s="5"/>
      <c r="AB75" s="5"/>
    </row>
    <row r="76" spans="1:28" x14ac:dyDescent="0.2">
      <c r="A76" s="7"/>
      <c r="B76" s="5"/>
      <c r="C76" s="5"/>
      <c r="D76" s="5"/>
      <c r="E76" s="5"/>
      <c r="F76" s="5"/>
      <c r="G76" s="5"/>
      <c r="H76" s="5"/>
      <c r="I76" s="5"/>
      <c r="J76" s="5"/>
      <c r="K76" s="5"/>
      <c r="L76" s="5"/>
      <c r="M76" s="5"/>
      <c r="N76" s="5"/>
      <c r="O76" s="5"/>
      <c r="P76" s="5"/>
      <c r="Q76" s="5"/>
      <c r="R76" s="5"/>
      <c r="S76" s="5"/>
      <c r="T76" s="5"/>
      <c r="U76" s="5"/>
      <c r="V76" s="5"/>
      <c r="W76" s="5"/>
      <c r="X76" s="5"/>
      <c r="Y76" s="5"/>
      <c r="Z76" s="5"/>
      <c r="AA76" s="5"/>
      <c r="AB76" s="5"/>
    </row>
    <row r="77" spans="1:28" x14ac:dyDescent="0.2">
      <c r="A77" s="7"/>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28" x14ac:dyDescent="0.2">
      <c r="A78" s="7"/>
      <c r="B78" s="5"/>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28" x14ac:dyDescent="0.2">
      <c r="A79" s="7"/>
      <c r="B79" s="5"/>
      <c r="C79" s="5"/>
      <c r="D79" s="5"/>
      <c r="E79" s="5"/>
      <c r="F79" s="5"/>
      <c r="G79" s="5"/>
      <c r="H79" s="5"/>
      <c r="I79" s="5"/>
      <c r="J79" s="5"/>
      <c r="K79" s="5"/>
      <c r="L79" s="5"/>
      <c r="M79" s="5"/>
      <c r="N79" s="5"/>
      <c r="O79" s="5"/>
      <c r="P79" s="5"/>
      <c r="Q79" s="5"/>
      <c r="R79" s="5"/>
      <c r="S79" s="5"/>
      <c r="T79" s="5"/>
      <c r="U79" s="5"/>
      <c r="V79" s="5"/>
      <c r="W79" s="5"/>
      <c r="X79" s="5"/>
      <c r="Y79" s="5"/>
      <c r="Z79" s="5"/>
      <c r="AA79" s="5"/>
      <c r="AB79" s="5"/>
    </row>
    <row r="80" spans="1:28" ht="26" x14ac:dyDescent="0.3">
      <c r="A80" s="719"/>
      <c r="B80" s="8"/>
      <c r="C80" s="8"/>
      <c r="D80" s="123"/>
      <c r="E80" s="8"/>
      <c r="F80" s="8"/>
      <c r="G80" s="8"/>
      <c r="H80" s="361"/>
      <c r="I80" s="362"/>
      <c r="J80" s="362"/>
      <c r="K80" s="362"/>
      <c r="L80" s="8"/>
      <c r="M80" s="363"/>
      <c r="N80" s="5"/>
      <c r="O80" s="5"/>
      <c r="P80" s="5"/>
      <c r="Q80" s="5"/>
      <c r="R80" s="5"/>
      <c r="S80" s="5"/>
      <c r="T80" s="5"/>
      <c r="U80" s="5"/>
      <c r="V80" s="5"/>
      <c r="W80" s="5"/>
      <c r="X80" s="5"/>
      <c r="Y80" s="5"/>
      <c r="Z80" s="5"/>
      <c r="AA80" s="5"/>
      <c r="AB80" s="5"/>
    </row>
    <row r="81" spans="1:28" ht="26" x14ac:dyDescent="0.3">
      <c r="A81" s="719"/>
      <c r="B81" s="8"/>
      <c r="C81" s="8"/>
      <c r="D81" s="123"/>
      <c r="E81" s="8"/>
      <c r="F81" s="8"/>
      <c r="G81" s="8"/>
      <c r="H81" s="361"/>
      <c r="I81" s="362"/>
      <c r="J81" s="362"/>
      <c r="K81" s="362"/>
      <c r="L81" s="8"/>
      <c r="M81" s="363"/>
      <c r="N81" s="5"/>
      <c r="O81" s="5"/>
      <c r="P81" s="5"/>
      <c r="Q81" s="5"/>
      <c r="R81" s="5"/>
      <c r="S81" s="5"/>
      <c r="T81" s="5"/>
      <c r="U81" s="5"/>
      <c r="V81" s="5"/>
      <c r="W81" s="5"/>
      <c r="X81" s="5"/>
      <c r="Y81" s="5"/>
      <c r="Z81" s="5"/>
      <c r="AA81" s="5"/>
      <c r="AB81" s="5"/>
    </row>
    <row r="82" spans="1:28" ht="26" x14ac:dyDescent="0.3">
      <c r="A82" s="719"/>
      <c r="B82" s="8"/>
      <c r="C82" s="8"/>
      <c r="D82" s="123"/>
      <c r="E82" s="8"/>
      <c r="F82" s="8"/>
      <c r="G82" s="8"/>
      <c r="H82" s="361"/>
      <c r="I82" s="362"/>
      <c r="J82" s="362"/>
      <c r="K82" s="362"/>
      <c r="L82" s="8"/>
      <c r="M82" s="363"/>
      <c r="N82" s="5"/>
      <c r="O82" s="5"/>
      <c r="P82" s="5"/>
      <c r="Q82" s="5"/>
      <c r="R82" s="5"/>
      <c r="S82" s="5"/>
      <c r="T82" s="5"/>
      <c r="U82" s="5"/>
      <c r="V82" s="5"/>
      <c r="W82" s="5"/>
      <c r="X82" s="5"/>
      <c r="Y82" s="5"/>
      <c r="Z82" s="5"/>
      <c r="AA82" s="5"/>
      <c r="AB82" s="5"/>
    </row>
    <row r="83" spans="1:28" ht="26" x14ac:dyDescent="0.3">
      <c r="A83" s="719"/>
      <c r="B83" s="8"/>
      <c r="C83" s="361"/>
      <c r="D83" s="123"/>
      <c r="E83" s="8"/>
      <c r="F83" s="8"/>
      <c r="G83" s="8"/>
      <c r="H83" s="361"/>
      <c r="I83" s="362"/>
      <c r="J83" s="362"/>
      <c r="K83" s="362"/>
      <c r="L83" s="8"/>
      <c r="M83" s="363"/>
      <c r="N83" s="5"/>
      <c r="O83" s="5"/>
      <c r="P83" s="5"/>
      <c r="Q83" s="5"/>
      <c r="R83" s="5"/>
      <c r="S83" s="5"/>
      <c r="T83" s="5"/>
      <c r="U83" s="5"/>
      <c r="V83" s="5"/>
      <c r="W83" s="5"/>
      <c r="X83" s="5"/>
      <c r="Y83" s="5"/>
      <c r="Z83" s="5"/>
      <c r="AA83" s="5"/>
      <c r="AB83" s="5"/>
    </row>
    <row r="84" spans="1:28" ht="26" x14ac:dyDescent="0.3">
      <c r="A84" s="719"/>
      <c r="B84" s="8"/>
      <c r="C84" s="8"/>
      <c r="D84" s="123"/>
      <c r="E84" s="8"/>
      <c r="F84" s="8"/>
      <c r="G84" s="8"/>
      <c r="H84" s="361"/>
      <c r="I84" s="362"/>
      <c r="J84" s="362"/>
      <c r="K84" s="362"/>
      <c r="L84" s="8"/>
      <c r="M84" s="363"/>
      <c r="N84" s="5"/>
      <c r="O84" s="5"/>
      <c r="P84" s="5"/>
      <c r="Q84" s="5"/>
      <c r="R84" s="5"/>
      <c r="S84" s="5"/>
      <c r="T84" s="5"/>
      <c r="U84" s="5"/>
      <c r="V84" s="5"/>
      <c r="W84" s="5"/>
      <c r="X84" s="5"/>
      <c r="Y84" s="5"/>
      <c r="Z84" s="5"/>
      <c r="AA84" s="5"/>
      <c r="AB84" s="5"/>
    </row>
    <row r="85" spans="1:28" ht="26" x14ac:dyDescent="0.3">
      <c r="A85" s="719"/>
      <c r="B85" s="8"/>
      <c r="C85" s="8"/>
      <c r="D85" s="123"/>
      <c r="E85" s="8"/>
      <c r="F85" s="8"/>
      <c r="G85" s="8"/>
      <c r="H85" s="361"/>
      <c r="I85" s="362"/>
      <c r="J85" s="362"/>
      <c r="K85" s="362"/>
      <c r="L85" s="8"/>
      <c r="M85" s="363"/>
      <c r="N85" s="5"/>
      <c r="O85" s="5"/>
      <c r="P85" s="5"/>
      <c r="Q85" s="5"/>
      <c r="R85" s="5"/>
      <c r="S85" s="5"/>
      <c r="T85" s="5"/>
      <c r="U85" s="5"/>
      <c r="V85" s="5"/>
      <c r="W85" s="5"/>
      <c r="X85" s="5"/>
      <c r="Y85" s="5"/>
      <c r="Z85" s="5"/>
      <c r="AA85" s="5"/>
      <c r="AB85" s="5"/>
    </row>
    <row r="86" spans="1:28" ht="26" x14ac:dyDescent="0.3">
      <c r="A86" s="719"/>
      <c r="B86" s="364"/>
      <c r="C86" s="365"/>
      <c r="D86" s="366"/>
      <c r="E86" s="364"/>
      <c r="F86" s="365"/>
      <c r="G86" s="364"/>
      <c r="H86" s="365"/>
      <c r="I86" s="365"/>
      <c r="J86" s="365"/>
      <c r="K86" s="365"/>
      <c r="L86" s="365"/>
      <c r="M86" s="365"/>
      <c r="N86" s="5"/>
      <c r="O86" s="5"/>
      <c r="P86" s="5"/>
      <c r="Q86" s="5"/>
      <c r="R86" s="5"/>
      <c r="S86" s="5"/>
      <c r="T86" s="5"/>
      <c r="U86" s="5"/>
      <c r="V86" s="5"/>
      <c r="W86" s="5"/>
      <c r="X86" s="5"/>
      <c r="Y86" s="5"/>
      <c r="Z86" s="5"/>
      <c r="AA86" s="5"/>
      <c r="AB86" s="5"/>
    </row>
    <row r="87" spans="1:28" x14ac:dyDescent="0.2">
      <c r="A87" s="7"/>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spans="1:28" x14ac:dyDescent="0.2">
      <c r="A88" s="7"/>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x14ac:dyDescent="0.2">
      <c r="A89" s="7"/>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spans="1:28" x14ac:dyDescent="0.2">
      <c r="A90" s="7"/>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spans="1:28" x14ac:dyDescent="0.2">
      <c r="A91" s="7"/>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x14ac:dyDescent="0.2">
      <c r="A92" s="7"/>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x14ac:dyDescent="0.2">
      <c r="A93" s="7"/>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spans="1:28" x14ac:dyDescent="0.2">
      <c r="A94" s="7"/>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28" x14ac:dyDescent="0.2">
      <c r="A95" s="7"/>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spans="1:28" x14ac:dyDescent="0.2">
      <c r="A96" s="7"/>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spans="1:28" x14ac:dyDescent="0.2">
      <c r="A97" s="7"/>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x14ac:dyDescent="0.2">
      <c r="A98" s="7"/>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x14ac:dyDescent="0.2">
      <c r="A99" s="7"/>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x14ac:dyDescent="0.2">
      <c r="A100" s="7"/>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x14ac:dyDescent="0.2">
      <c r="A101" s="7"/>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x14ac:dyDescent="0.2">
      <c r="A102" s="7"/>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x14ac:dyDescent="0.2">
      <c r="A103" s="7"/>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x14ac:dyDescent="0.2">
      <c r="A104" s="7"/>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x14ac:dyDescent="0.2">
      <c r="A105" s="7"/>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x14ac:dyDescent="0.2">
      <c r="A106" s="7"/>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x14ac:dyDescent="0.2">
      <c r="A107" s="7"/>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x14ac:dyDescent="0.2">
      <c r="A108" s="7"/>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x14ac:dyDescent="0.2">
      <c r="A109" s="7"/>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x14ac:dyDescent="0.2">
      <c r="A110" s="7"/>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x14ac:dyDescent="0.2">
      <c r="A111" s="7"/>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x14ac:dyDescent="0.2">
      <c r="A112" s="7"/>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x14ac:dyDescent="0.2">
      <c r="A113" s="7"/>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x14ac:dyDescent="0.2">
      <c r="A114" s="7"/>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x14ac:dyDescent="0.2">
      <c r="A115" s="7"/>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x14ac:dyDescent="0.2">
      <c r="A116" s="7"/>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x14ac:dyDescent="0.2">
      <c r="A117" s="7"/>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x14ac:dyDescent="0.2">
      <c r="A118" s="7"/>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x14ac:dyDescent="0.2">
      <c r="A119" s="7"/>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x14ac:dyDescent="0.2">
      <c r="A120" s="7"/>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x14ac:dyDescent="0.2">
      <c r="A121" s="7"/>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x14ac:dyDescent="0.2">
      <c r="A122" s="7"/>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x14ac:dyDescent="0.2">
      <c r="A123" s="7"/>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x14ac:dyDescent="0.2">
      <c r="A124" s="7"/>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x14ac:dyDescent="0.2">
      <c r="A125" s="7"/>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x14ac:dyDescent="0.2">
      <c r="A126" s="7"/>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x14ac:dyDescent="0.2">
      <c r="A127" s="7"/>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x14ac:dyDescent="0.2">
      <c r="A128" s="7"/>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x14ac:dyDescent="0.2">
      <c r="A129" s="7"/>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x14ac:dyDescent="0.2">
      <c r="A130" s="7"/>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x14ac:dyDescent="0.2">
      <c r="A131" s="7"/>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x14ac:dyDescent="0.2">
      <c r="A132" s="7"/>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x14ac:dyDescent="0.2">
      <c r="A133" s="7"/>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x14ac:dyDescent="0.2">
      <c r="A134" s="7"/>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x14ac:dyDescent="0.2">
      <c r="A135" s="7"/>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x14ac:dyDescent="0.2">
      <c r="A136" s="7"/>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x14ac:dyDescent="0.2">
      <c r="A137" s="7"/>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x14ac:dyDescent="0.2">
      <c r="A138" s="7"/>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x14ac:dyDescent="0.2">
      <c r="A139" s="7"/>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x14ac:dyDescent="0.2">
      <c r="A140" s="7"/>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x14ac:dyDescent="0.2">
      <c r="A141" s="7"/>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x14ac:dyDescent="0.2">
      <c r="A142" s="7"/>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x14ac:dyDescent="0.2">
      <c r="A143" s="7"/>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x14ac:dyDescent="0.2">
      <c r="A144" s="7"/>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x14ac:dyDescent="0.2">
      <c r="A145" s="7"/>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x14ac:dyDescent="0.2">
      <c r="A146" s="7"/>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x14ac:dyDescent="0.2">
      <c r="A147" s="7"/>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x14ac:dyDescent="0.2">
      <c r="A148" s="7"/>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x14ac:dyDescent="0.2">
      <c r="A149" s="7"/>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x14ac:dyDescent="0.2">
      <c r="A150" s="7"/>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x14ac:dyDescent="0.2">
      <c r="A151" s="7"/>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x14ac:dyDescent="0.2">
      <c r="A152" s="7"/>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x14ac:dyDescent="0.2">
      <c r="A153" s="7"/>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x14ac:dyDescent="0.2">
      <c r="A154" s="7"/>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x14ac:dyDescent="0.2">
      <c r="A155" s="7"/>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x14ac:dyDescent="0.2">
      <c r="A156" s="7"/>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x14ac:dyDescent="0.2">
      <c r="A157" s="7"/>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x14ac:dyDescent="0.2">
      <c r="A158" s="7"/>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x14ac:dyDescent="0.2">
      <c r="A159" s="7"/>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x14ac:dyDescent="0.2">
      <c r="A160" s="7"/>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x14ac:dyDescent="0.2">
      <c r="A161" s="7"/>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x14ac:dyDescent="0.2">
      <c r="A162" s="7"/>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x14ac:dyDescent="0.2">
      <c r="A163" s="7"/>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x14ac:dyDescent="0.2">
      <c r="A164" s="7"/>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x14ac:dyDescent="0.2">
      <c r="A165" s="7"/>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x14ac:dyDescent="0.2">
      <c r="A166" s="7"/>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x14ac:dyDescent="0.2">
      <c r="A167" s="7"/>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x14ac:dyDescent="0.2">
      <c r="A168" s="7"/>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x14ac:dyDescent="0.2">
      <c r="A169" s="7"/>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x14ac:dyDescent="0.2">
      <c r="A170" s="7"/>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x14ac:dyDescent="0.2">
      <c r="A171" s="7"/>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x14ac:dyDescent="0.2">
      <c r="A172" s="7"/>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x14ac:dyDescent="0.2">
      <c r="A173" s="7"/>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x14ac:dyDescent="0.2">
      <c r="A174" s="7"/>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x14ac:dyDescent="0.2">
      <c r="A175" s="7"/>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x14ac:dyDescent="0.2">
      <c r="A176" s="7"/>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x14ac:dyDescent="0.2">
      <c r="A177" s="7"/>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x14ac:dyDescent="0.2">
      <c r="A178" s="7"/>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x14ac:dyDescent="0.2">
      <c r="A179" s="7"/>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x14ac:dyDescent="0.2">
      <c r="A180" s="7"/>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x14ac:dyDescent="0.2">
      <c r="A181" s="7"/>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x14ac:dyDescent="0.2">
      <c r="A182" s="7"/>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x14ac:dyDescent="0.2">
      <c r="A183" s="7"/>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x14ac:dyDescent="0.2">
      <c r="A184" s="7"/>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x14ac:dyDescent="0.2">
      <c r="A185" s="7"/>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x14ac:dyDescent="0.2">
      <c r="A186" s="7"/>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x14ac:dyDescent="0.2">
      <c r="A187" s="7"/>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x14ac:dyDescent="0.2">
      <c r="A188" s="7"/>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x14ac:dyDescent="0.2">
      <c r="A189" s="7"/>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x14ac:dyDescent="0.2">
      <c r="A190" s="7"/>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x14ac:dyDescent="0.2">
      <c r="A191" s="7"/>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x14ac:dyDescent="0.2">
      <c r="A192" s="7"/>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x14ac:dyDescent="0.2">
      <c r="A193" s="7"/>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x14ac:dyDescent="0.2">
      <c r="A194" s="7"/>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x14ac:dyDescent="0.2">
      <c r="A195" s="7"/>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x14ac:dyDescent="0.2">
      <c r="A196" s="7"/>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x14ac:dyDescent="0.2">
      <c r="A197" s="7"/>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x14ac:dyDescent="0.2">
      <c r="A198" s="7"/>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x14ac:dyDescent="0.2">
      <c r="A199" s="7"/>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x14ac:dyDescent="0.2">
      <c r="A200" s="7"/>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x14ac:dyDescent="0.2">
      <c r="A201" s="7"/>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x14ac:dyDescent="0.2">
      <c r="A202" s="7"/>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x14ac:dyDescent="0.2">
      <c r="A203" s="7"/>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x14ac:dyDescent="0.2">
      <c r="A204" s="7"/>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x14ac:dyDescent="0.2">
      <c r="A205" s="7"/>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x14ac:dyDescent="0.2">
      <c r="A206" s="7"/>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x14ac:dyDescent="0.2">
      <c r="A207" s="7"/>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x14ac:dyDescent="0.2">
      <c r="A208" s="7"/>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x14ac:dyDescent="0.2">
      <c r="A209" s="7"/>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x14ac:dyDescent="0.2">
      <c r="A210" s="7"/>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x14ac:dyDescent="0.2">
      <c r="A211" s="7"/>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x14ac:dyDescent="0.2">
      <c r="A212" s="7"/>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x14ac:dyDescent="0.2">
      <c r="A213" s="7"/>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x14ac:dyDescent="0.2">
      <c r="A214" s="7"/>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x14ac:dyDescent="0.2">
      <c r="A215" s="7"/>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x14ac:dyDescent="0.2">
      <c r="A216" s="7"/>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x14ac:dyDescent="0.2">
      <c r="A217" s="7"/>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x14ac:dyDescent="0.2">
      <c r="A218" s="7"/>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x14ac:dyDescent="0.2">
      <c r="A219" s="7"/>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x14ac:dyDescent="0.2">
      <c r="A220" s="7"/>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x14ac:dyDescent="0.2">
      <c r="A221" s="7"/>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x14ac:dyDescent="0.2">
      <c r="A222" s="7"/>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x14ac:dyDescent="0.2">
      <c r="A223" s="7"/>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x14ac:dyDescent="0.2">
      <c r="A224" s="7"/>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x14ac:dyDescent="0.2">
      <c r="A225" s="7"/>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x14ac:dyDescent="0.2">
      <c r="A226" s="7"/>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x14ac:dyDescent="0.2">
      <c r="A227" s="7"/>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x14ac:dyDescent="0.2">
      <c r="A228" s="7"/>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x14ac:dyDescent="0.2">
      <c r="A229" s="7"/>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x14ac:dyDescent="0.2">
      <c r="A230" s="7"/>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x14ac:dyDescent="0.2">
      <c r="A231" s="7"/>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x14ac:dyDescent="0.2">
      <c r="A232" s="7"/>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x14ac:dyDescent="0.2">
      <c r="A233" s="7"/>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x14ac:dyDescent="0.2">
      <c r="A234" s="7"/>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x14ac:dyDescent="0.2">
      <c r="A235" s="7"/>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x14ac:dyDescent="0.2">
      <c r="A236" s="7"/>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x14ac:dyDescent="0.2">
      <c r="A237" s="7"/>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x14ac:dyDescent="0.2">
      <c r="A238" s="7"/>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x14ac:dyDescent="0.2">
      <c r="A239" s="7"/>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x14ac:dyDescent="0.2">
      <c r="A240" s="7"/>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x14ac:dyDescent="0.2">
      <c r="A241" s="7"/>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x14ac:dyDescent="0.2">
      <c r="A242" s="7"/>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x14ac:dyDescent="0.2">
      <c r="A243" s="7"/>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x14ac:dyDescent="0.2">
      <c r="A244" s="7"/>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x14ac:dyDescent="0.2">
      <c r="A245" s="7"/>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x14ac:dyDescent="0.2">
      <c r="A246" s="7"/>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x14ac:dyDescent="0.2">
      <c r="A247" s="7"/>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x14ac:dyDescent="0.2">
      <c r="A248" s="7"/>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x14ac:dyDescent="0.2">
      <c r="A249" s="7"/>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x14ac:dyDescent="0.2">
      <c r="A250" s="7"/>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x14ac:dyDescent="0.2">
      <c r="A251" s="7"/>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x14ac:dyDescent="0.2">
      <c r="A252" s="7"/>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x14ac:dyDescent="0.2">
      <c r="A253" s="7"/>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x14ac:dyDescent="0.2">
      <c r="A254" s="7"/>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x14ac:dyDescent="0.2">
      <c r="A255" s="7"/>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x14ac:dyDescent="0.2">
      <c r="A256" s="7"/>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x14ac:dyDescent="0.2">
      <c r="A257" s="7"/>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x14ac:dyDescent="0.2">
      <c r="A258" s="7"/>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x14ac:dyDescent="0.2">
      <c r="A259" s="7"/>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x14ac:dyDescent="0.2">
      <c r="A260" s="7"/>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x14ac:dyDescent="0.2">
      <c r="A261" s="7"/>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x14ac:dyDescent="0.2">
      <c r="A262" s="7"/>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x14ac:dyDescent="0.2">
      <c r="A263" s="7"/>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x14ac:dyDescent="0.2">
      <c r="A264" s="7"/>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x14ac:dyDescent="0.2">
      <c r="A265" s="7"/>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x14ac:dyDescent="0.2">
      <c r="A266" s="7"/>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x14ac:dyDescent="0.2">
      <c r="A267" s="7"/>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x14ac:dyDescent="0.2">
      <c r="A268" s="7"/>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x14ac:dyDescent="0.2">
      <c r="A269" s="7"/>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x14ac:dyDescent="0.2">
      <c r="A270" s="7"/>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x14ac:dyDescent="0.2">
      <c r="A271" s="7"/>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x14ac:dyDescent="0.2">
      <c r="A272" s="7"/>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x14ac:dyDescent="0.2">
      <c r="A273" s="7"/>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x14ac:dyDescent="0.2">
      <c r="A274" s="7"/>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x14ac:dyDescent="0.2">
      <c r="A275" s="7"/>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x14ac:dyDescent="0.2">
      <c r="A276" s="7"/>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x14ac:dyDescent="0.2">
      <c r="A277" s="7"/>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x14ac:dyDescent="0.2">
      <c r="A278" s="7"/>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x14ac:dyDescent="0.2">
      <c r="A279" s="7"/>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x14ac:dyDescent="0.2">
      <c r="A280" s="7"/>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x14ac:dyDescent="0.2">
      <c r="A281" s="7"/>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x14ac:dyDescent="0.2">
      <c r="A282" s="7"/>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x14ac:dyDescent="0.2">
      <c r="A283" s="7"/>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x14ac:dyDescent="0.2">
      <c r="A284" s="7"/>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x14ac:dyDescent="0.2">
      <c r="A285" s="7"/>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x14ac:dyDescent="0.2">
      <c r="A286" s="7"/>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x14ac:dyDescent="0.2">
      <c r="A287" s="7"/>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x14ac:dyDescent="0.2">
      <c r="A288" s="7"/>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x14ac:dyDescent="0.2">
      <c r="A289" s="7"/>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x14ac:dyDescent="0.2">
      <c r="A290" s="7"/>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x14ac:dyDescent="0.2">
      <c r="A291" s="7"/>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x14ac:dyDescent="0.2">
      <c r="A292" s="7"/>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x14ac:dyDescent="0.2">
      <c r="A293" s="7"/>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x14ac:dyDescent="0.2">
      <c r="A294" s="7"/>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x14ac:dyDescent="0.2">
      <c r="A295" s="7"/>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x14ac:dyDescent="0.2">
      <c r="A296" s="7"/>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x14ac:dyDescent="0.2">
      <c r="A297" s="7"/>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x14ac:dyDescent="0.2">
      <c r="A298" s="7"/>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x14ac:dyDescent="0.2">
      <c r="A299" s="7"/>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x14ac:dyDescent="0.2">
      <c r="A300" s="7"/>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x14ac:dyDescent="0.2">
      <c r="A301" s="7"/>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x14ac:dyDescent="0.2">
      <c r="A302" s="7"/>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x14ac:dyDescent="0.2">
      <c r="A303" s="7"/>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x14ac:dyDescent="0.2">
      <c r="A304" s="7"/>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x14ac:dyDescent="0.2">
      <c r="A305" s="7"/>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x14ac:dyDescent="0.2">
      <c r="A306" s="7"/>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x14ac:dyDescent="0.2">
      <c r="A307" s="7"/>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x14ac:dyDescent="0.2">
      <c r="A308" s="7"/>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x14ac:dyDescent="0.2">
      <c r="A309" s="7"/>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x14ac:dyDescent="0.2">
      <c r="A310" s="7"/>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x14ac:dyDescent="0.2">
      <c r="A311" s="7"/>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x14ac:dyDescent="0.2">
      <c r="A312" s="7"/>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x14ac:dyDescent="0.2">
      <c r="A313" s="7"/>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x14ac:dyDescent="0.2">
      <c r="A314" s="7"/>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x14ac:dyDescent="0.2">
      <c r="A315" s="7"/>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x14ac:dyDescent="0.2">
      <c r="A316" s="7"/>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x14ac:dyDescent="0.2">
      <c r="A317" s="7"/>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x14ac:dyDescent="0.2">
      <c r="A318" s="7"/>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x14ac:dyDescent="0.2">
      <c r="A319" s="7"/>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x14ac:dyDescent="0.2">
      <c r="A320" s="7"/>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x14ac:dyDescent="0.2">
      <c r="A321" s="7"/>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x14ac:dyDescent="0.2">
      <c r="A322" s="7"/>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x14ac:dyDescent="0.2">
      <c r="A323" s="7"/>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x14ac:dyDescent="0.2">
      <c r="A324" s="7"/>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x14ac:dyDescent="0.2">
      <c r="A325" s="7"/>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x14ac:dyDescent="0.2">
      <c r="A326" s="7"/>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x14ac:dyDescent="0.2">
      <c r="A327" s="7"/>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x14ac:dyDescent="0.2">
      <c r="A328" s="7"/>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x14ac:dyDescent="0.2">
      <c r="A329" s="7"/>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x14ac:dyDescent="0.2">
      <c r="A330" s="7"/>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x14ac:dyDescent="0.2">
      <c r="A331" s="7"/>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x14ac:dyDescent="0.2">
      <c r="A332" s="7"/>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x14ac:dyDescent="0.2">
      <c r="A333" s="7"/>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x14ac:dyDescent="0.2">
      <c r="A334" s="7"/>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x14ac:dyDescent="0.2">
      <c r="A335" s="7"/>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x14ac:dyDescent="0.2">
      <c r="A336" s="7"/>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x14ac:dyDescent="0.2">
      <c r="A337" s="7"/>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x14ac:dyDescent="0.2">
      <c r="A338" s="7"/>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x14ac:dyDescent="0.2">
      <c r="A339" s="7"/>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x14ac:dyDescent="0.2">
      <c r="A340" s="7"/>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x14ac:dyDescent="0.2">
      <c r="A341" s="7"/>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x14ac:dyDescent="0.2">
      <c r="A342" s="7"/>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x14ac:dyDescent="0.2">
      <c r="A343" s="7"/>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x14ac:dyDescent="0.2">
      <c r="A344" s="7"/>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x14ac:dyDescent="0.2">
      <c r="A345" s="7"/>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x14ac:dyDescent="0.2">
      <c r="A346" s="7"/>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x14ac:dyDescent="0.2">
      <c r="A347" s="7"/>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x14ac:dyDescent="0.2">
      <c r="A348" s="7"/>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x14ac:dyDescent="0.2">
      <c r="A349" s="7"/>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x14ac:dyDescent="0.2">
      <c r="A350" s="7"/>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x14ac:dyDescent="0.2">
      <c r="A351" s="7"/>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x14ac:dyDescent="0.2">
      <c r="A352" s="7"/>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x14ac:dyDescent="0.2">
      <c r="A353" s="7"/>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x14ac:dyDescent="0.2">
      <c r="A354" s="7"/>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x14ac:dyDescent="0.2">
      <c r="A355" s="7"/>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x14ac:dyDescent="0.2">
      <c r="A356" s="7"/>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x14ac:dyDescent="0.2">
      <c r="A357" s="7"/>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x14ac:dyDescent="0.2">
      <c r="A358" s="7"/>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x14ac:dyDescent="0.2">
      <c r="A359" s="7"/>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x14ac:dyDescent="0.2">
      <c r="A360" s="7"/>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x14ac:dyDescent="0.2">
      <c r="A361" s="7"/>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x14ac:dyDescent="0.2">
      <c r="A362" s="7"/>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x14ac:dyDescent="0.2">
      <c r="A363" s="7"/>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x14ac:dyDescent="0.2">
      <c r="A364" s="7"/>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x14ac:dyDescent="0.2">
      <c r="A365" s="7"/>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x14ac:dyDescent="0.2">
      <c r="A366" s="7"/>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x14ac:dyDescent="0.2">
      <c r="A367" s="7"/>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x14ac:dyDescent="0.2">
      <c r="A368" s="7"/>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x14ac:dyDescent="0.2">
      <c r="A369" s="7"/>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x14ac:dyDescent="0.2">
      <c r="A370" s="7"/>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x14ac:dyDescent="0.2">
      <c r="A371" s="7"/>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x14ac:dyDescent="0.2">
      <c r="A372" s="7"/>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x14ac:dyDescent="0.2">
      <c r="A373" s="7"/>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x14ac:dyDescent="0.2">
      <c r="A374" s="7"/>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x14ac:dyDescent="0.2">
      <c r="A375" s="7"/>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x14ac:dyDescent="0.2">
      <c r="A376" s="7"/>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x14ac:dyDescent="0.2">
      <c r="A377" s="7"/>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x14ac:dyDescent="0.2">
      <c r="A378" s="7"/>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x14ac:dyDescent="0.2">
      <c r="A379" s="7"/>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x14ac:dyDescent="0.2">
      <c r="A380" s="7"/>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x14ac:dyDescent="0.2">
      <c r="A381" s="7"/>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x14ac:dyDescent="0.2">
      <c r="A382" s="7"/>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x14ac:dyDescent="0.2">
      <c r="A383" s="7"/>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x14ac:dyDescent="0.2">
      <c r="A384" s="7"/>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x14ac:dyDescent="0.2">
      <c r="A385" s="7"/>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x14ac:dyDescent="0.2">
      <c r="A386" s="7"/>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x14ac:dyDescent="0.2">
      <c r="A387" s="7"/>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x14ac:dyDescent="0.2">
      <c r="A388" s="7"/>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x14ac:dyDescent="0.2">
      <c r="A389" s="7"/>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x14ac:dyDescent="0.2">
      <c r="A390" s="7"/>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x14ac:dyDescent="0.2">
      <c r="A391" s="7"/>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x14ac:dyDescent="0.2">
      <c r="A392" s="7"/>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x14ac:dyDescent="0.2">
      <c r="A393" s="7"/>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x14ac:dyDescent="0.2">
      <c r="A394" s="7"/>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x14ac:dyDescent="0.2">
      <c r="A395" s="7"/>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x14ac:dyDescent="0.2">
      <c r="A396" s="7"/>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x14ac:dyDescent="0.2">
      <c r="A397" s="7"/>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x14ac:dyDescent="0.2">
      <c r="A398" s="7"/>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x14ac:dyDescent="0.2">
      <c r="A399" s="7"/>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x14ac:dyDescent="0.2">
      <c r="A400" s="7"/>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x14ac:dyDescent="0.2">
      <c r="A401" s="7"/>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x14ac:dyDescent="0.2">
      <c r="A402" s="7"/>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x14ac:dyDescent="0.2">
      <c r="A403" s="7"/>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x14ac:dyDescent="0.2">
      <c r="A404" s="7"/>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x14ac:dyDescent="0.2">
      <c r="A405" s="7"/>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x14ac:dyDescent="0.2">
      <c r="A406" s="7"/>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x14ac:dyDescent="0.2">
      <c r="A407" s="7"/>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x14ac:dyDescent="0.2">
      <c r="A408" s="7"/>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x14ac:dyDescent="0.2">
      <c r="A409" s="7"/>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x14ac:dyDescent="0.2">
      <c r="A410" s="7"/>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x14ac:dyDescent="0.2">
      <c r="A411" s="7"/>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x14ac:dyDescent="0.2">
      <c r="A412" s="7"/>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x14ac:dyDescent="0.2">
      <c r="A413" s="7"/>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x14ac:dyDescent="0.2">
      <c r="A414" s="7"/>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x14ac:dyDescent="0.2">
      <c r="A415" s="7"/>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x14ac:dyDescent="0.2">
      <c r="A416" s="7"/>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x14ac:dyDescent="0.2">
      <c r="A417" s="7"/>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x14ac:dyDescent="0.2">
      <c r="A418" s="7"/>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x14ac:dyDescent="0.2">
      <c r="A419" s="7"/>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x14ac:dyDescent="0.2">
      <c r="A420" s="7"/>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x14ac:dyDescent="0.2">
      <c r="A421" s="7"/>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x14ac:dyDescent="0.2">
      <c r="A422" s="7"/>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x14ac:dyDescent="0.2">
      <c r="A423" s="7"/>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x14ac:dyDescent="0.2">
      <c r="A424" s="7"/>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x14ac:dyDescent="0.2">
      <c r="A425" s="7"/>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x14ac:dyDescent="0.2">
      <c r="A426" s="7"/>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x14ac:dyDescent="0.2">
      <c r="A427" s="7"/>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x14ac:dyDescent="0.2">
      <c r="A428" s="7"/>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x14ac:dyDescent="0.2">
      <c r="A429" s="7"/>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x14ac:dyDescent="0.2">
      <c r="A430" s="7"/>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x14ac:dyDescent="0.2">
      <c r="A431" s="7"/>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x14ac:dyDescent="0.2">
      <c r="A432" s="7"/>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x14ac:dyDescent="0.2">
      <c r="A433" s="7"/>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x14ac:dyDescent="0.2">
      <c r="A434" s="7"/>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x14ac:dyDescent="0.2">
      <c r="A435" s="7"/>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x14ac:dyDescent="0.2">
      <c r="A436" s="7"/>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x14ac:dyDescent="0.2">
      <c r="A437" s="7"/>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x14ac:dyDescent="0.2">
      <c r="A438" s="7"/>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x14ac:dyDescent="0.2">
      <c r="A439" s="7"/>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x14ac:dyDescent="0.2">
      <c r="A440" s="7"/>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x14ac:dyDescent="0.2">
      <c r="A441" s="7"/>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x14ac:dyDescent="0.2">
      <c r="A442" s="7"/>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x14ac:dyDescent="0.2">
      <c r="A443" s="7"/>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x14ac:dyDescent="0.2">
      <c r="A444" s="7"/>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x14ac:dyDescent="0.2">
      <c r="A445" s="7"/>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x14ac:dyDescent="0.2">
      <c r="A446" s="7"/>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x14ac:dyDescent="0.2">
      <c r="A447" s="7"/>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x14ac:dyDescent="0.2">
      <c r="A448" s="7"/>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x14ac:dyDescent="0.2">
      <c r="A449" s="7"/>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x14ac:dyDescent="0.2">
      <c r="A450" s="7"/>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x14ac:dyDescent="0.2">
      <c r="A451" s="7"/>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x14ac:dyDescent="0.2">
      <c r="A452" s="7"/>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x14ac:dyDescent="0.2">
      <c r="A453" s="7"/>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x14ac:dyDescent="0.2">
      <c r="A454" s="7"/>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x14ac:dyDescent="0.2">
      <c r="A455" s="7"/>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x14ac:dyDescent="0.2">
      <c r="A456" s="7"/>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x14ac:dyDescent="0.2">
      <c r="A457" s="7"/>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x14ac:dyDescent="0.2">
      <c r="A458" s="7"/>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x14ac:dyDescent="0.2">
      <c r="A459" s="7"/>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x14ac:dyDescent="0.2">
      <c r="A460" s="7"/>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x14ac:dyDescent="0.2">
      <c r="A461" s="7"/>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x14ac:dyDescent="0.2">
      <c r="A462" s="7"/>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x14ac:dyDescent="0.2">
      <c r="A463" s="7"/>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x14ac:dyDescent="0.2">
      <c r="A464" s="7"/>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x14ac:dyDescent="0.2">
      <c r="A465" s="7"/>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x14ac:dyDescent="0.2">
      <c r="A466" s="7"/>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x14ac:dyDescent="0.2">
      <c r="A467" s="7"/>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x14ac:dyDescent="0.2">
      <c r="A468" s="7"/>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x14ac:dyDescent="0.2">
      <c r="A469" s="7"/>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x14ac:dyDescent="0.2">
      <c r="A470" s="7"/>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x14ac:dyDescent="0.2">
      <c r="A471" s="7"/>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x14ac:dyDescent="0.2">
      <c r="A472" s="7"/>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x14ac:dyDescent="0.2">
      <c r="A473" s="7"/>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x14ac:dyDescent="0.2">
      <c r="A474" s="7"/>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x14ac:dyDescent="0.2">
      <c r="A475" s="7"/>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x14ac:dyDescent="0.2">
      <c r="A476" s="7"/>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x14ac:dyDescent="0.2">
      <c r="A477" s="7"/>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x14ac:dyDescent="0.2">
      <c r="A478" s="7"/>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x14ac:dyDescent="0.2">
      <c r="A479" s="7"/>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x14ac:dyDescent="0.2">
      <c r="A480" s="7"/>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x14ac:dyDescent="0.2">
      <c r="A481" s="7"/>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x14ac:dyDescent="0.2">
      <c r="A482" s="7"/>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x14ac:dyDescent="0.2">
      <c r="A483" s="7"/>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x14ac:dyDescent="0.2">
      <c r="A484" s="7"/>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x14ac:dyDescent="0.2">
      <c r="A485" s="7"/>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x14ac:dyDescent="0.2">
      <c r="A486" s="7"/>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x14ac:dyDescent="0.2">
      <c r="A487" s="7"/>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x14ac:dyDescent="0.2">
      <c r="A488" s="7"/>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x14ac:dyDescent="0.2">
      <c r="A489" s="7"/>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x14ac:dyDescent="0.2">
      <c r="A490" s="7"/>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x14ac:dyDescent="0.2">
      <c r="A491" s="7"/>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x14ac:dyDescent="0.2">
      <c r="A492" s="7"/>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x14ac:dyDescent="0.2">
      <c r="A493" s="7"/>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x14ac:dyDescent="0.2">
      <c r="A494" s="7"/>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x14ac:dyDescent="0.2">
      <c r="A495" s="7"/>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x14ac:dyDescent="0.2">
      <c r="A496" s="7"/>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x14ac:dyDescent="0.2">
      <c r="A497" s="7"/>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x14ac:dyDescent="0.2">
      <c r="A498" s="7"/>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x14ac:dyDescent="0.2">
      <c r="A499" s="7"/>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x14ac:dyDescent="0.2">
      <c r="A500" s="7"/>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x14ac:dyDescent="0.2">
      <c r="A501" s="7"/>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x14ac:dyDescent="0.2">
      <c r="A502" s="7"/>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x14ac:dyDescent="0.2">
      <c r="A503" s="7"/>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x14ac:dyDescent="0.2">
      <c r="A504" s="7"/>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x14ac:dyDescent="0.2">
      <c r="A505" s="7"/>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x14ac:dyDescent="0.2">
      <c r="A506" s="7"/>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x14ac:dyDescent="0.2">
      <c r="A507" s="7"/>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x14ac:dyDescent="0.2">
      <c r="A508" s="7"/>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x14ac:dyDescent="0.2">
      <c r="A509" s="7"/>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x14ac:dyDescent="0.2">
      <c r="A510" s="7"/>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x14ac:dyDescent="0.2">
      <c r="A511" s="7"/>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x14ac:dyDescent="0.2">
      <c r="A512" s="7"/>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x14ac:dyDescent="0.2">
      <c r="A513" s="7"/>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x14ac:dyDescent="0.2">
      <c r="A514" s="7"/>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x14ac:dyDescent="0.2">
      <c r="A515" s="7"/>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x14ac:dyDescent="0.2">
      <c r="A516" s="7"/>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x14ac:dyDescent="0.2">
      <c r="A517" s="7"/>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x14ac:dyDescent="0.2">
      <c r="A518" s="7"/>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x14ac:dyDescent="0.2">
      <c r="A519" s="7"/>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x14ac:dyDescent="0.2">
      <c r="A520" s="7"/>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x14ac:dyDescent="0.2">
      <c r="A521" s="7"/>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x14ac:dyDescent="0.2">
      <c r="A522" s="7"/>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x14ac:dyDescent="0.2">
      <c r="A523" s="7"/>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x14ac:dyDescent="0.2">
      <c r="A524" s="7"/>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x14ac:dyDescent="0.2">
      <c r="A525" s="7"/>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x14ac:dyDescent="0.2">
      <c r="A526" s="7"/>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x14ac:dyDescent="0.2">
      <c r="A527" s="7"/>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x14ac:dyDescent="0.2">
      <c r="A528" s="7"/>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x14ac:dyDescent="0.2">
      <c r="A529" s="7"/>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x14ac:dyDescent="0.2">
      <c r="A530" s="7"/>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x14ac:dyDescent="0.2">
      <c r="A531" s="7"/>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x14ac:dyDescent="0.2">
      <c r="A532" s="7"/>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x14ac:dyDescent="0.2">
      <c r="A533" s="7"/>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x14ac:dyDescent="0.2">
      <c r="A534" s="7"/>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x14ac:dyDescent="0.2">
      <c r="A535" s="7"/>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x14ac:dyDescent="0.2">
      <c r="A536" s="7"/>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x14ac:dyDescent="0.2">
      <c r="A537" s="7"/>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x14ac:dyDescent="0.2">
      <c r="A538" s="7"/>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x14ac:dyDescent="0.2">
      <c r="A539" s="7"/>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x14ac:dyDescent="0.2">
      <c r="A540" s="7"/>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x14ac:dyDescent="0.2">
      <c r="A541" s="7"/>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x14ac:dyDescent="0.2">
      <c r="A542" s="7"/>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x14ac:dyDescent="0.2">
      <c r="A543" s="7"/>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x14ac:dyDescent="0.2">
      <c r="A544" s="7"/>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x14ac:dyDescent="0.2">
      <c r="A545" s="7"/>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x14ac:dyDescent="0.2">
      <c r="A546" s="7"/>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x14ac:dyDescent="0.2">
      <c r="A547" s="7"/>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x14ac:dyDescent="0.2">
      <c r="A548" s="7"/>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x14ac:dyDescent="0.2">
      <c r="A549" s="7"/>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x14ac:dyDescent="0.2">
      <c r="A550" s="7"/>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x14ac:dyDescent="0.2">
      <c r="A551" s="7"/>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x14ac:dyDescent="0.2">
      <c r="A552" s="7"/>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x14ac:dyDescent="0.2">
      <c r="A553" s="7"/>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x14ac:dyDescent="0.2">
      <c r="A554" s="7"/>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x14ac:dyDescent="0.2">
      <c r="A555" s="7"/>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x14ac:dyDescent="0.2">
      <c r="A556" s="7"/>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x14ac:dyDescent="0.2">
      <c r="A557" s="7"/>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x14ac:dyDescent="0.2">
      <c r="A558" s="7"/>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x14ac:dyDescent="0.2">
      <c r="A559" s="7"/>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x14ac:dyDescent="0.2">
      <c r="A560" s="7"/>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x14ac:dyDescent="0.2">
      <c r="A561" s="7"/>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x14ac:dyDescent="0.2">
      <c r="A562" s="7"/>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x14ac:dyDescent="0.2">
      <c r="A563" s="7"/>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x14ac:dyDescent="0.2">
      <c r="A564" s="7"/>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x14ac:dyDescent="0.2">
      <c r="A565" s="7"/>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x14ac:dyDescent="0.2">
      <c r="A566" s="7"/>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x14ac:dyDescent="0.2">
      <c r="A567" s="7"/>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x14ac:dyDescent="0.2">
      <c r="A568" s="7"/>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x14ac:dyDescent="0.2">
      <c r="A569" s="7"/>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x14ac:dyDescent="0.2">
      <c r="A570" s="7"/>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x14ac:dyDescent="0.2">
      <c r="A571" s="7"/>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x14ac:dyDescent="0.2">
      <c r="A572" s="7"/>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x14ac:dyDescent="0.2">
      <c r="A573" s="7"/>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x14ac:dyDescent="0.2">
      <c r="A574" s="7"/>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x14ac:dyDescent="0.2">
      <c r="A575" s="7"/>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x14ac:dyDescent="0.2">
      <c r="A576" s="7"/>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x14ac:dyDescent="0.2">
      <c r="A577" s="7"/>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x14ac:dyDescent="0.2">
      <c r="A578" s="7"/>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x14ac:dyDescent="0.2">
      <c r="A579" s="7"/>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x14ac:dyDescent="0.2">
      <c r="A580" s="7"/>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x14ac:dyDescent="0.2">
      <c r="A581" s="7"/>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x14ac:dyDescent="0.2">
      <c r="A582" s="7"/>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x14ac:dyDescent="0.2">
      <c r="A583" s="7"/>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x14ac:dyDescent="0.2">
      <c r="A584" s="7"/>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x14ac:dyDescent="0.2">
      <c r="A585" s="7"/>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x14ac:dyDescent="0.2">
      <c r="A586" s="7"/>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x14ac:dyDescent="0.2">
      <c r="A587" s="7"/>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x14ac:dyDescent="0.2">
      <c r="A588" s="7"/>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x14ac:dyDescent="0.2">
      <c r="A589" s="7"/>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x14ac:dyDescent="0.2">
      <c r="A590" s="7"/>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x14ac:dyDescent="0.2">
      <c r="A591" s="7"/>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x14ac:dyDescent="0.2">
      <c r="A592" s="7"/>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x14ac:dyDescent="0.2">
      <c r="A593" s="7"/>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x14ac:dyDescent="0.2">
      <c r="A594" s="7"/>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x14ac:dyDescent="0.2">
      <c r="A595" s="7"/>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x14ac:dyDescent="0.2">
      <c r="A596" s="7"/>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x14ac:dyDescent="0.2">
      <c r="A597" s="7"/>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x14ac:dyDescent="0.2">
      <c r="A598" s="7"/>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x14ac:dyDescent="0.2">
      <c r="A599" s="7"/>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x14ac:dyDescent="0.2">
      <c r="A600" s="7"/>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x14ac:dyDescent="0.2">
      <c r="A601" s="7"/>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x14ac:dyDescent="0.2">
      <c r="A602" s="7"/>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x14ac:dyDescent="0.2">
      <c r="A603" s="7"/>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x14ac:dyDescent="0.2">
      <c r="A604" s="7"/>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x14ac:dyDescent="0.2">
      <c r="A605" s="7"/>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x14ac:dyDescent="0.2">
      <c r="A606" s="7"/>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x14ac:dyDescent="0.2">
      <c r="A607" s="7"/>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x14ac:dyDescent="0.2">
      <c r="A608" s="7"/>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x14ac:dyDescent="0.2">
      <c r="A609" s="7"/>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x14ac:dyDescent="0.2">
      <c r="A610" s="7"/>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x14ac:dyDescent="0.2">
      <c r="A611" s="7"/>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x14ac:dyDescent="0.2">
      <c r="A612" s="7"/>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x14ac:dyDescent="0.2">
      <c r="A613" s="7"/>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x14ac:dyDescent="0.2">
      <c r="A614" s="7"/>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x14ac:dyDescent="0.2">
      <c r="A615" s="7"/>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x14ac:dyDescent="0.2">
      <c r="A616" s="7"/>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x14ac:dyDescent="0.2">
      <c r="A617" s="7"/>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x14ac:dyDescent="0.2">
      <c r="A618" s="7"/>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x14ac:dyDescent="0.2">
      <c r="A619" s="7"/>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x14ac:dyDescent="0.2">
      <c r="A620" s="7"/>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x14ac:dyDescent="0.2">
      <c r="A621" s="7"/>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x14ac:dyDescent="0.2">
      <c r="A622" s="7"/>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x14ac:dyDescent="0.2">
      <c r="A623" s="7"/>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x14ac:dyDescent="0.2">
      <c r="A624" s="7"/>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x14ac:dyDescent="0.2">
      <c r="A625" s="7"/>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x14ac:dyDescent="0.2">
      <c r="A626" s="7"/>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x14ac:dyDescent="0.2">
      <c r="A627" s="7"/>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x14ac:dyDescent="0.2">
      <c r="A628" s="7"/>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x14ac:dyDescent="0.2">
      <c r="A629" s="7"/>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x14ac:dyDescent="0.2">
      <c r="A630" s="7"/>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x14ac:dyDescent="0.2">
      <c r="A631" s="7"/>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x14ac:dyDescent="0.2">
      <c r="A632" s="7"/>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x14ac:dyDescent="0.2">
      <c r="A633" s="7"/>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x14ac:dyDescent="0.2">
      <c r="A634" s="7"/>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x14ac:dyDescent="0.2">
      <c r="A635" s="7"/>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x14ac:dyDescent="0.2">
      <c r="A636" s="7"/>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x14ac:dyDescent="0.2">
      <c r="A637" s="7"/>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x14ac:dyDescent="0.2">
      <c r="A638" s="7"/>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x14ac:dyDescent="0.2">
      <c r="A639" s="7"/>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x14ac:dyDescent="0.2">
      <c r="A640" s="7"/>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x14ac:dyDescent="0.2">
      <c r="A641" s="7"/>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x14ac:dyDescent="0.2">
      <c r="A642" s="7"/>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x14ac:dyDescent="0.2">
      <c r="A643" s="7"/>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x14ac:dyDescent="0.2">
      <c r="A644" s="7"/>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x14ac:dyDescent="0.2">
      <c r="A645" s="7"/>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x14ac:dyDescent="0.2">
      <c r="A646" s="7"/>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x14ac:dyDescent="0.2">
      <c r="A647" s="7"/>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x14ac:dyDescent="0.2">
      <c r="A648" s="7"/>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x14ac:dyDescent="0.2">
      <c r="A649" s="7"/>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x14ac:dyDescent="0.2">
      <c r="A650" s="7"/>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x14ac:dyDescent="0.2">
      <c r="A651" s="7"/>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x14ac:dyDescent="0.2">
      <c r="A652" s="7"/>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x14ac:dyDescent="0.2">
      <c r="A653" s="7"/>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x14ac:dyDescent="0.2">
      <c r="A654" s="7"/>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x14ac:dyDescent="0.2">
      <c r="A655" s="7"/>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x14ac:dyDescent="0.2">
      <c r="A656" s="7"/>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x14ac:dyDescent="0.2">
      <c r="A657" s="7"/>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x14ac:dyDescent="0.2">
      <c r="A658" s="7"/>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x14ac:dyDescent="0.2">
      <c r="A659" s="7"/>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x14ac:dyDescent="0.2">
      <c r="A660" s="7"/>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x14ac:dyDescent="0.2">
      <c r="A661" s="7"/>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x14ac:dyDescent="0.2">
      <c r="A662" s="7"/>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x14ac:dyDescent="0.2">
      <c r="A663" s="7"/>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x14ac:dyDescent="0.2">
      <c r="A664" s="7"/>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x14ac:dyDescent="0.2">
      <c r="A665" s="7"/>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x14ac:dyDescent="0.2">
      <c r="A666" s="7"/>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x14ac:dyDescent="0.2">
      <c r="A667" s="7"/>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x14ac:dyDescent="0.2">
      <c r="A668" s="7"/>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x14ac:dyDescent="0.2">
      <c r="A669" s="7"/>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x14ac:dyDescent="0.2">
      <c r="A670" s="7"/>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x14ac:dyDescent="0.2">
      <c r="A671" s="7"/>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x14ac:dyDescent="0.2">
      <c r="A672" s="7"/>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x14ac:dyDescent="0.2">
      <c r="A673" s="7"/>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x14ac:dyDescent="0.2">
      <c r="A674" s="7"/>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x14ac:dyDescent="0.2">
      <c r="A675" s="7"/>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x14ac:dyDescent="0.2">
      <c r="A676" s="7"/>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x14ac:dyDescent="0.2">
      <c r="A677" s="7"/>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x14ac:dyDescent="0.2">
      <c r="A678" s="7"/>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x14ac:dyDescent="0.2">
      <c r="A679" s="7"/>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x14ac:dyDescent="0.2">
      <c r="A680" s="7"/>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x14ac:dyDescent="0.2">
      <c r="A681" s="7"/>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x14ac:dyDescent="0.2">
      <c r="A682" s="7"/>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x14ac:dyDescent="0.2">
      <c r="A683" s="7"/>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x14ac:dyDescent="0.2">
      <c r="A684" s="7"/>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x14ac:dyDescent="0.2">
      <c r="A685" s="7"/>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x14ac:dyDescent="0.2">
      <c r="A686" s="7"/>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x14ac:dyDescent="0.2">
      <c r="A687" s="7"/>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x14ac:dyDescent="0.2">
      <c r="A688" s="7"/>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x14ac:dyDescent="0.2">
      <c r="A689" s="7"/>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x14ac:dyDescent="0.2">
      <c r="A690" s="7"/>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x14ac:dyDescent="0.2">
      <c r="A691" s="7"/>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x14ac:dyDescent="0.2">
      <c r="A692" s="7"/>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x14ac:dyDescent="0.2">
      <c r="A693" s="7"/>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x14ac:dyDescent="0.2">
      <c r="A694" s="7"/>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x14ac:dyDescent="0.2">
      <c r="A695" s="7"/>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x14ac:dyDescent="0.2">
      <c r="A696" s="7"/>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x14ac:dyDescent="0.2">
      <c r="A697" s="7"/>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x14ac:dyDescent="0.2">
      <c r="A698" s="7"/>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x14ac:dyDescent="0.2">
      <c r="A699" s="7"/>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x14ac:dyDescent="0.2">
      <c r="A700" s="7"/>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x14ac:dyDescent="0.2">
      <c r="A701" s="7"/>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x14ac:dyDescent="0.2">
      <c r="A702" s="7"/>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x14ac:dyDescent="0.2">
      <c r="A703" s="7"/>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x14ac:dyDescent="0.2">
      <c r="A704" s="7"/>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x14ac:dyDescent="0.2">
      <c r="A705" s="7"/>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x14ac:dyDescent="0.2">
      <c r="A706" s="7"/>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x14ac:dyDescent="0.2">
      <c r="A707" s="7"/>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x14ac:dyDescent="0.2">
      <c r="A708" s="7"/>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x14ac:dyDescent="0.2">
      <c r="A709" s="7"/>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x14ac:dyDescent="0.2">
      <c r="A710" s="7"/>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x14ac:dyDescent="0.2">
      <c r="A711" s="7"/>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x14ac:dyDescent="0.2">
      <c r="A712" s="7"/>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x14ac:dyDescent="0.2">
      <c r="A713" s="7"/>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x14ac:dyDescent="0.2">
      <c r="A714" s="7"/>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x14ac:dyDescent="0.2">
      <c r="A715" s="7"/>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x14ac:dyDescent="0.2">
      <c r="A716" s="7"/>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x14ac:dyDescent="0.2">
      <c r="A717" s="7"/>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x14ac:dyDescent="0.2">
      <c r="A718" s="7"/>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x14ac:dyDescent="0.2">
      <c r="A719" s="7"/>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x14ac:dyDescent="0.2">
      <c r="A720" s="7"/>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x14ac:dyDescent="0.2">
      <c r="A721" s="7"/>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x14ac:dyDescent="0.2">
      <c r="A722" s="7"/>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x14ac:dyDescent="0.2">
      <c r="A723" s="7"/>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x14ac:dyDescent="0.2">
      <c r="A724" s="7"/>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x14ac:dyDescent="0.2">
      <c r="A725" s="7"/>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x14ac:dyDescent="0.2">
      <c r="A726" s="7"/>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x14ac:dyDescent="0.2">
      <c r="A727" s="7"/>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x14ac:dyDescent="0.2">
      <c r="A728" s="7"/>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x14ac:dyDescent="0.2">
      <c r="A729" s="7"/>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x14ac:dyDescent="0.2">
      <c r="A730" s="7"/>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x14ac:dyDescent="0.2">
      <c r="A731" s="7"/>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x14ac:dyDescent="0.2">
      <c r="A732" s="7"/>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x14ac:dyDescent="0.2">
      <c r="A733" s="7"/>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x14ac:dyDescent="0.2">
      <c r="A734" s="7"/>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x14ac:dyDescent="0.2">
      <c r="A735" s="7"/>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x14ac:dyDescent="0.2">
      <c r="A736" s="7"/>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x14ac:dyDescent="0.2">
      <c r="A737" s="7"/>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x14ac:dyDescent="0.2">
      <c r="A738" s="7"/>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x14ac:dyDescent="0.2">
      <c r="A739" s="7"/>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x14ac:dyDescent="0.2">
      <c r="A740" s="7"/>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x14ac:dyDescent="0.2">
      <c r="A741" s="7"/>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x14ac:dyDescent="0.2">
      <c r="A742" s="7"/>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x14ac:dyDescent="0.2">
      <c r="A743" s="7"/>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x14ac:dyDescent="0.2">
      <c r="A744" s="7"/>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x14ac:dyDescent="0.2">
      <c r="A745" s="7"/>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x14ac:dyDescent="0.2">
      <c r="A746" s="7"/>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x14ac:dyDescent="0.2">
      <c r="A747" s="7"/>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x14ac:dyDescent="0.2">
      <c r="A748" s="7"/>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x14ac:dyDescent="0.2">
      <c r="A749" s="7"/>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x14ac:dyDescent="0.2">
      <c r="A750" s="7"/>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x14ac:dyDescent="0.2">
      <c r="A751" s="7"/>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x14ac:dyDescent="0.2">
      <c r="A752" s="7"/>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x14ac:dyDescent="0.2">
      <c r="A753" s="7"/>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x14ac:dyDescent="0.2">
      <c r="A754" s="7"/>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x14ac:dyDescent="0.2">
      <c r="A755" s="7"/>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x14ac:dyDescent="0.2">
      <c r="A756" s="7"/>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x14ac:dyDescent="0.2">
      <c r="A757" s="7"/>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x14ac:dyDescent="0.2">
      <c r="A758" s="7"/>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x14ac:dyDescent="0.2">
      <c r="A759" s="7"/>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x14ac:dyDescent="0.2">
      <c r="A760" s="7"/>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x14ac:dyDescent="0.2">
      <c r="A761" s="7"/>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x14ac:dyDescent="0.2">
      <c r="A762" s="7"/>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x14ac:dyDescent="0.2">
      <c r="A763" s="7"/>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x14ac:dyDescent="0.2">
      <c r="A764" s="7"/>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x14ac:dyDescent="0.2">
      <c r="A765" s="7"/>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x14ac:dyDescent="0.2">
      <c r="A766" s="7"/>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x14ac:dyDescent="0.2">
      <c r="A767" s="7"/>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x14ac:dyDescent="0.2">
      <c r="A768" s="7"/>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x14ac:dyDescent="0.2">
      <c r="A769" s="7"/>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x14ac:dyDescent="0.2">
      <c r="A770" s="7"/>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x14ac:dyDescent="0.2">
      <c r="A771" s="7"/>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x14ac:dyDescent="0.2">
      <c r="A772" s="7"/>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x14ac:dyDescent="0.2">
      <c r="A773" s="7"/>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x14ac:dyDescent="0.2">
      <c r="A774" s="7"/>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x14ac:dyDescent="0.2">
      <c r="A775" s="7"/>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x14ac:dyDescent="0.2">
      <c r="A776" s="7"/>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x14ac:dyDescent="0.2">
      <c r="A777" s="7"/>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x14ac:dyDescent="0.2">
      <c r="A778" s="7"/>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x14ac:dyDescent="0.2">
      <c r="A779" s="7"/>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x14ac:dyDescent="0.2">
      <c r="A780" s="7"/>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x14ac:dyDescent="0.2">
      <c r="A781" s="7"/>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x14ac:dyDescent="0.2">
      <c r="A782" s="7"/>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x14ac:dyDescent="0.2">
      <c r="A783" s="7"/>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x14ac:dyDescent="0.2">
      <c r="A784" s="7"/>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x14ac:dyDescent="0.2">
      <c r="A785" s="7"/>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x14ac:dyDescent="0.2">
      <c r="A786" s="7"/>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x14ac:dyDescent="0.2">
      <c r="A787" s="7"/>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x14ac:dyDescent="0.2">
      <c r="A788" s="7"/>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x14ac:dyDescent="0.2">
      <c r="A789" s="7"/>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x14ac:dyDescent="0.2">
      <c r="A790" s="7"/>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x14ac:dyDescent="0.2">
      <c r="A791" s="7"/>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x14ac:dyDescent="0.2">
      <c r="A792" s="7"/>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x14ac:dyDescent="0.2">
      <c r="A793" s="7"/>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x14ac:dyDescent="0.2">
      <c r="A794" s="7"/>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x14ac:dyDescent="0.2">
      <c r="A795" s="7"/>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x14ac:dyDescent="0.2">
      <c r="A796" s="7"/>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x14ac:dyDescent="0.2">
      <c r="A797" s="7"/>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x14ac:dyDescent="0.2">
      <c r="A798" s="7"/>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x14ac:dyDescent="0.2">
      <c r="A799" s="7"/>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x14ac:dyDescent="0.2">
      <c r="A800" s="7"/>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x14ac:dyDescent="0.2">
      <c r="A801" s="7"/>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x14ac:dyDescent="0.2">
      <c r="A802" s="7"/>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x14ac:dyDescent="0.2">
      <c r="A803" s="7"/>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x14ac:dyDescent="0.2">
      <c r="A804" s="7"/>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x14ac:dyDescent="0.2">
      <c r="A805" s="7"/>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x14ac:dyDescent="0.2">
      <c r="A806" s="7"/>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x14ac:dyDescent="0.2">
      <c r="A807" s="7"/>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x14ac:dyDescent="0.2">
      <c r="A808" s="7"/>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x14ac:dyDescent="0.2">
      <c r="A809" s="7"/>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x14ac:dyDescent="0.2">
      <c r="A810" s="7"/>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x14ac:dyDescent="0.2">
      <c r="A811" s="7"/>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x14ac:dyDescent="0.2">
      <c r="A812" s="7"/>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x14ac:dyDescent="0.2">
      <c r="A813" s="7"/>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x14ac:dyDescent="0.2">
      <c r="A814" s="7"/>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x14ac:dyDescent="0.2">
      <c r="A815" s="7"/>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x14ac:dyDescent="0.2">
      <c r="A816" s="7"/>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x14ac:dyDescent="0.2">
      <c r="A817" s="7"/>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x14ac:dyDescent="0.2">
      <c r="A818" s="7"/>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x14ac:dyDescent="0.2">
      <c r="A819" s="7"/>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x14ac:dyDescent="0.2">
      <c r="A820" s="7"/>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x14ac:dyDescent="0.2">
      <c r="A821" s="7"/>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x14ac:dyDescent="0.2">
      <c r="A822" s="7"/>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x14ac:dyDescent="0.2">
      <c r="A823" s="7"/>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x14ac:dyDescent="0.2">
      <c r="A824" s="7"/>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x14ac:dyDescent="0.2">
      <c r="A825" s="7"/>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x14ac:dyDescent="0.2">
      <c r="A826" s="7"/>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x14ac:dyDescent="0.2">
      <c r="A827" s="7"/>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x14ac:dyDescent="0.2">
      <c r="A828" s="7"/>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x14ac:dyDescent="0.2">
      <c r="A829" s="7"/>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x14ac:dyDescent="0.2">
      <c r="A830" s="7"/>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x14ac:dyDescent="0.2">
      <c r="A831" s="7"/>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x14ac:dyDescent="0.2">
      <c r="A832" s="7"/>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x14ac:dyDescent="0.2">
      <c r="A833" s="7"/>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x14ac:dyDescent="0.2">
      <c r="A834" s="7"/>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x14ac:dyDescent="0.2">
      <c r="A835" s="7"/>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x14ac:dyDescent="0.2">
      <c r="A836" s="7"/>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x14ac:dyDescent="0.2">
      <c r="A837" s="7"/>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x14ac:dyDescent="0.2">
      <c r="A838" s="7"/>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x14ac:dyDescent="0.2">
      <c r="A839" s="7"/>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x14ac:dyDescent="0.2">
      <c r="A840" s="7"/>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x14ac:dyDescent="0.2">
      <c r="A841" s="7"/>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x14ac:dyDescent="0.2">
      <c r="A842" s="7"/>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x14ac:dyDescent="0.2">
      <c r="A843" s="7"/>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x14ac:dyDescent="0.2">
      <c r="A844" s="7"/>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x14ac:dyDescent="0.2">
      <c r="A845" s="7"/>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x14ac:dyDescent="0.2">
      <c r="A846" s="7"/>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x14ac:dyDescent="0.2">
      <c r="A847" s="7"/>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x14ac:dyDescent="0.2">
      <c r="A848" s="7"/>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x14ac:dyDescent="0.2">
      <c r="A849" s="7"/>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x14ac:dyDescent="0.2">
      <c r="A850" s="7"/>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x14ac:dyDescent="0.2">
      <c r="A851" s="7"/>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x14ac:dyDescent="0.2">
      <c r="A852" s="7"/>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x14ac:dyDescent="0.2">
      <c r="A853" s="7"/>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x14ac:dyDescent="0.2">
      <c r="A854" s="7"/>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x14ac:dyDescent="0.2">
      <c r="A855" s="7"/>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x14ac:dyDescent="0.2">
      <c r="A856" s="7"/>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x14ac:dyDescent="0.2">
      <c r="A857" s="7"/>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x14ac:dyDescent="0.2">
      <c r="A858" s="7"/>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x14ac:dyDescent="0.2">
      <c r="A859" s="7"/>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x14ac:dyDescent="0.2">
      <c r="A860" s="7"/>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x14ac:dyDescent="0.2">
      <c r="A861" s="7"/>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x14ac:dyDescent="0.2">
      <c r="A862" s="7"/>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x14ac:dyDescent="0.2">
      <c r="A863" s="7"/>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x14ac:dyDescent="0.2">
      <c r="A864" s="7"/>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x14ac:dyDescent="0.2">
      <c r="A865" s="7"/>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x14ac:dyDescent="0.2">
      <c r="A866" s="7"/>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x14ac:dyDescent="0.2">
      <c r="A867" s="7"/>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x14ac:dyDescent="0.2">
      <c r="A868" s="7"/>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x14ac:dyDescent="0.2">
      <c r="A869" s="7"/>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x14ac:dyDescent="0.2">
      <c r="A870" s="7"/>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x14ac:dyDescent="0.2">
      <c r="A871" s="7"/>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x14ac:dyDescent="0.2">
      <c r="A872" s="7"/>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x14ac:dyDescent="0.2">
      <c r="A873" s="7"/>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x14ac:dyDescent="0.2">
      <c r="A874" s="7"/>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x14ac:dyDescent="0.2">
      <c r="A875" s="7"/>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x14ac:dyDescent="0.2">
      <c r="A876" s="7"/>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x14ac:dyDescent="0.2">
      <c r="A877" s="7"/>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x14ac:dyDescent="0.2">
      <c r="A878" s="7"/>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x14ac:dyDescent="0.2">
      <c r="A879" s="7"/>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x14ac:dyDescent="0.2">
      <c r="A880" s="7"/>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x14ac:dyDescent="0.2">
      <c r="A881" s="7"/>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x14ac:dyDescent="0.2">
      <c r="A882" s="7"/>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x14ac:dyDescent="0.2">
      <c r="A883" s="7"/>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x14ac:dyDescent="0.2">
      <c r="A884" s="7"/>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x14ac:dyDescent="0.2">
      <c r="A885" s="7"/>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x14ac:dyDescent="0.2">
      <c r="A886" s="7"/>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x14ac:dyDescent="0.2">
      <c r="A887" s="7"/>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x14ac:dyDescent="0.2">
      <c r="A888" s="7"/>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x14ac:dyDescent="0.2">
      <c r="A889" s="7"/>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x14ac:dyDescent="0.2">
      <c r="A890" s="7"/>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x14ac:dyDescent="0.2">
      <c r="A891" s="7"/>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x14ac:dyDescent="0.2">
      <c r="A892" s="7"/>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x14ac:dyDescent="0.2">
      <c r="A893" s="7"/>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x14ac:dyDescent="0.2">
      <c r="A894" s="7"/>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x14ac:dyDescent="0.2">
      <c r="A895" s="7"/>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x14ac:dyDescent="0.2">
      <c r="A896" s="7"/>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x14ac:dyDescent="0.2">
      <c r="A897" s="7"/>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x14ac:dyDescent="0.2">
      <c r="A898" s="7"/>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x14ac:dyDescent="0.2">
      <c r="A899" s="7"/>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x14ac:dyDescent="0.2">
      <c r="A900" s="7"/>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x14ac:dyDescent="0.2">
      <c r="A901" s="7"/>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x14ac:dyDescent="0.2">
      <c r="A902" s="7"/>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x14ac:dyDescent="0.2">
      <c r="A903" s="7"/>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x14ac:dyDescent="0.2">
      <c r="A904" s="7"/>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x14ac:dyDescent="0.2">
      <c r="A905" s="7"/>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x14ac:dyDescent="0.2">
      <c r="A906" s="7"/>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x14ac:dyDescent="0.2">
      <c r="A907" s="7"/>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x14ac:dyDescent="0.2">
      <c r="A908" s="7"/>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x14ac:dyDescent="0.2">
      <c r="A909" s="7"/>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x14ac:dyDescent="0.2">
      <c r="A910" s="7"/>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x14ac:dyDescent="0.2">
      <c r="A911" s="7"/>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x14ac:dyDescent="0.2">
      <c r="A912" s="7"/>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x14ac:dyDescent="0.2">
      <c r="A913" s="7"/>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x14ac:dyDescent="0.2">
      <c r="A914" s="7"/>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x14ac:dyDescent="0.2">
      <c r="A915" s="7"/>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x14ac:dyDescent="0.2">
      <c r="A916" s="7"/>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x14ac:dyDescent="0.2">
      <c r="A917" s="7"/>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x14ac:dyDescent="0.2">
      <c r="A918" s="7"/>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x14ac:dyDescent="0.2">
      <c r="A919" s="7"/>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x14ac:dyDescent="0.2">
      <c r="A920" s="7"/>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x14ac:dyDescent="0.2">
      <c r="A921" s="7"/>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x14ac:dyDescent="0.2">
      <c r="A922" s="7"/>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x14ac:dyDescent="0.2">
      <c r="A923" s="7"/>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x14ac:dyDescent="0.2">
      <c r="A924" s="7"/>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x14ac:dyDescent="0.2">
      <c r="A925" s="7"/>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x14ac:dyDescent="0.2">
      <c r="A926" s="7"/>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x14ac:dyDescent="0.2">
      <c r="A927" s="7"/>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x14ac:dyDescent="0.2">
      <c r="A928" s="7"/>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x14ac:dyDescent="0.2">
      <c r="A929" s="7"/>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x14ac:dyDescent="0.2">
      <c r="A930" s="7"/>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x14ac:dyDescent="0.2">
      <c r="A931" s="7"/>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x14ac:dyDescent="0.2">
      <c r="A932" s="7"/>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x14ac:dyDescent="0.2">
      <c r="A933" s="7"/>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x14ac:dyDescent="0.2">
      <c r="A934" s="7"/>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x14ac:dyDescent="0.2">
      <c r="A935" s="7"/>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x14ac:dyDescent="0.2">
      <c r="A936" s="7"/>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x14ac:dyDescent="0.2">
      <c r="A937" s="7"/>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x14ac:dyDescent="0.2">
      <c r="A938" s="7"/>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x14ac:dyDescent="0.2">
      <c r="A939" s="7"/>
      <c r="B939" s="5"/>
      <c r="C939" s="5"/>
      <c r="D939" s="5"/>
      <c r="E939" s="5"/>
      <c r="F939" s="5"/>
      <c r="G939" s="5"/>
      <c r="H939" s="5"/>
      <c r="I939" s="5"/>
      <c r="J939" s="5"/>
      <c r="K939" s="5"/>
      <c r="L939" s="5"/>
      <c r="M939" s="5"/>
    </row>
    <row r="940" spans="1:28" x14ac:dyDescent="0.2">
      <c r="A940" s="7"/>
      <c r="B940" s="5"/>
      <c r="C940" s="5"/>
      <c r="D940" s="5"/>
      <c r="E940" s="5"/>
      <c r="F940" s="5"/>
      <c r="G940" s="5"/>
      <c r="H940" s="5"/>
      <c r="I940" s="5"/>
      <c r="J940" s="5"/>
      <c r="K940" s="5"/>
      <c r="L940" s="5"/>
      <c r="M940" s="5"/>
    </row>
    <row r="941" spans="1:28" x14ac:dyDescent="0.2">
      <c r="A941" s="7"/>
      <c r="B941" s="5"/>
      <c r="C941" s="5"/>
      <c r="D941" s="5"/>
      <c r="E941" s="5"/>
      <c r="F941" s="5"/>
      <c r="G941" s="5"/>
      <c r="H941" s="5"/>
      <c r="I941" s="5"/>
      <c r="J941" s="5"/>
      <c r="K941" s="5"/>
      <c r="L941" s="5"/>
      <c r="M941" s="5"/>
    </row>
    <row r="942" spans="1:28" x14ac:dyDescent="0.2">
      <c r="A942" s="7"/>
      <c r="B942" s="5"/>
      <c r="C942" s="5"/>
      <c r="D942" s="5"/>
      <c r="E942" s="5"/>
      <c r="F942" s="5"/>
      <c r="G942" s="5"/>
      <c r="H942" s="5"/>
      <c r="I942" s="5"/>
      <c r="J942" s="5"/>
      <c r="K942" s="5"/>
      <c r="L942" s="5"/>
      <c r="M942" s="5"/>
    </row>
    <row r="943" spans="1:28" x14ac:dyDescent="0.2">
      <c r="A943" s="7"/>
      <c r="B943" s="5"/>
      <c r="C943" s="5"/>
      <c r="D943" s="5"/>
      <c r="E943" s="5"/>
      <c r="F943" s="5"/>
      <c r="G943" s="5"/>
      <c r="H943" s="5"/>
      <c r="I943" s="5"/>
      <c r="J943" s="5"/>
      <c r="K943" s="5"/>
      <c r="L943" s="5"/>
      <c r="M943" s="5"/>
    </row>
    <row r="944" spans="1:28" x14ac:dyDescent="0.2">
      <c r="A944" s="7"/>
      <c r="B944" s="5"/>
      <c r="C944" s="5"/>
      <c r="D944" s="5"/>
      <c r="E944" s="5"/>
      <c r="F944" s="5"/>
      <c r="G944" s="5"/>
      <c r="H944" s="5"/>
      <c r="I944" s="5"/>
      <c r="J944" s="5"/>
      <c r="K944" s="5"/>
      <c r="L944" s="5"/>
      <c r="M944" s="5"/>
    </row>
    <row r="945" spans="1:13" x14ac:dyDescent="0.2">
      <c r="A945" s="7"/>
      <c r="B945" s="5"/>
      <c r="C945" s="5"/>
      <c r="D945" s="5"/>
      <c r="E945" s="5"/>
      <c r="F945" s="5"/>
      <c r="G945" s="5"/>
      <c r="H945" s="5"/>
      <c r="I945" s="5"/>
      <c r="J945" s="5"/>
      <c r="K945" s="5"/>
      <c r="L945" s="5"/>
      <c r="M945" s="5"/>
    </row>
    <row r="946" spans="1:13" x14ac:dyDescent="0.2">
      <c r="A946" s="7"/>
      <c r="B946" s="5"/>
      <c r="C946" s="5"/>
      <c r="D946" s="5"/>
      <c r="E946" s="5"/>
      <c r="F946" s="5"/>
      <c r="G946" s="5"/>
      <c r="H946" s="5"/>
      <c r="I946" s="5"/>
      <c r="J946" s="5"/>
      <c r="K946" s="5"/>
      <c r="L946" s="5"/>
      <c r="M946" s="5"/>
    </row>
    <row r="947" spans="1:13" x14ac:dyDescent="0.2">
      <c r="A947" s="7"/>
      <c r="B947" s="5"/>
      <c r="C947" s="5"/>
      <c r="D947" s="5"/>
      <c r="E947" s="5"/>
      <c r="F947" s="5"/>
      <c r="G947" s="5"/>
      <c r="H947" s="5"/>
      <c r="I947" s="5"/>
      <c r="J947" s="5"/>
      <c r="K947" s="5"/>
      <c r="L947" s="5"/>
      <c r="M947" s="5"/>
    </row>
    <row r="948" spans="1:13" x14ac:dyDescent="0.2">
      <c r="A948" s="7"/>
      <c r="B948" s="5"/>
      <c r="C948" s="5"/>
      <c r="D948" s="5"/>
      <c r="E948" s="5"/>
      <c r="F948" s="5"/>
      <c r="G948" s="5"/>
      <c r="H948" s="5"/>
      <c r="I948" s="5"/>
      <c r="J948" s="5"/>
      <c r="K948" s="5"/>
      <c r="L948" s="5"/>
      <c r="M948" s="5"/>
    </row>
    <row r="949" spans="1:13" x14ac:dyDescent="0.2">
      <c r="A949" s="7"/>
      <c r="B949" s="5"/>
      <c r="C949" s="5"/>
      <c r="D949" s="5"/>
      <c r="E949" s="5"/>
      <c r="F949" s="5"/>
      <c r="G949" s="5"/>
      <c r="H949" s="5"/>
      <c r="I949" s="5"/>
      <c r="J949" s="5"/>
      <c r="K949" s="5"/>
      <c r="L949" s="5"/>
      <c r="M949" s="5"/>
    </row>
    <row r="950" spans="1:13" x14ac:dyDescent="0.2">
      <c r="A950" s="7"/>
      <c r="B950" s="5"/>
      <c r="C950" s="5"/>
      <c r="D950" s="5"/>
      <c r="E950" s="5"/>
      <c r="F950" s="5"/>
      <c r="G950" s="5"/>
      <c r="H950" s="5"/>
      <c r="I950" s="5"/>
      <c r="J950" s="5"/>
      <c r="K950" s="5"/>
      <c r="L950" s="5"/>
      <c r="M950" s="5"/>
    </row>
  </sheetData>
  <mergeCells count="13">
    <mergeCell ref="I1:M1"/>
    <mergeCell ref="C1:H1"/>
    <mergeCell ref="A3:A8"/>
    <mergeCell ref="A9:A15"/>
    <mergeCell ref="A1:A2"/>
    <mergeCell ref="B1:B2"/>
    <mergeCell ref="A80:A86"/>
    <mergeCell ref="A16:A19"/>
    <mergeCell ref="B56:B62"/>
    <mergeCell ref="A20:A24"/>
    <mergeCell ref="A25:A33"/>
    <mergeCell ref="A42:A49"/>
    <mergeCell ref="A34:A41"/>
  </mergeCells>
  <conditionalFormatting sqref="A20:A21 N20:N21 P20:XFD21 B20:L24 B42:M50 N42:XFD1048576">
    <cfRule type="cellIs" dxfId="39" priority="67" operator="lessThan">
      <formula>0</formula>
    </cfRule>
  </conditionalFormatting>
  <conditionalFormatting sqref="A1:C1 I1:M1 H2 L2:M2 A2:A5">
    <cfRule type="cellIs" dxfId="38" priority="11" operator="lessThan">
      <formula>0</formula>
    </cfRule>
  </conditionalFormatting>
  <conditionalFormatting sqref="B6:B7">
    <cfRule type="cellIs" dxfId="37" priority="54" operator="lessThan">
      <formula>0</formula>
    </cfRule>
  </conditionalFormatting>
  <conditionalFormatting sqref="B13:B14">
    <cfRule type="cellIs" dxfId="36" priority="58" operator="lessThan">
      <formula>0</formula>
    </cfRule>
  </conditionalFormatting>
  <conditionalFormatting sqref="B80:M86">
    <cfRule type="cellIs" dxfId="34" priority="20" operator="lessThan">
      <formula>0</formula>
    </cfRule>
  </conditionalFormatting>
  <conditionalFormatting sqref="D18:J18">
    <cfRule type="cellIs" dxfId="33" priority="16" operator="lessThan">
      <formula>0</formula>
    </cfRule>
  </conditionalFormatting>
  <conditionalFormatting sqref="F80:F85">
    <cfRule type="cellIs" dxfId="32" priority="21" operator="lessThan">
      <formula>0</formula>
    </cfRule>
  </conditionalFormatting>
  <conditionalFormatting sqref="H13:H15">
    <cfRule type="cellIs" dxfId="31" priority="69" operator="greaterThan">
      <formula>0</formula>
    </cfRule>
  </conditionalFormatting>
  <conditionalFormatting sqref="N1:R5 B3:L15 N22:XFD33 C25:L32 B25:B41 C34:L40 M34:XFD41 D56:D61 C56:C62 E56:N62">
    <cfRule type="cellIs" dxfId="29" priority="72" operator="lessThan">
      <formula>0</formula>
    </cfRule>
  </conditionalFormatting>
  <conditionalFormatting sqref="N2:XFD19 M3:M33 J13:K19 B16:K17 L16:L18 A80:A83">
    <cfRule type="cellIs" dxfId="28" priority="24" operator="lessThan">
      <formula>0</formula>
    </cfRule>
  </conditionalFormatting>
  <conditionalFormatting sqref="S1:XFD1 A9 J15:L15 B18:C19 D19:L19 B33:L33 B41:L41 A50:M50 A52 C52:M52 A53:M79 N62 A87:M1048576">
    <cfRule type="cellIs" dxfId="27" priority="79" operator="lessThan">
      <formula>0</formula>
    </cfRule>
  </conditionalFormatting>
  <pageMargins left="0.7" right="0.7" top="0.78740157499999996" bottom="0.78740157499999996"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5" operator="lessThan" id="{8F7AC141-C2D6-433E-8F87-97E605D1A95B}">
            <xm:f>Awareness!#REF!</xm:f>
            <x14:dxf>
              <font>
                <color rgb="FFFF0000"/>
              </font>
            </x14:dxf>
          </x14:cfRule>
          <xm:sqref>B49:L49</xm:sqref>
        </x14:conditionalFormatting>
        <x14:conditionalFormatting xmlns:xm="http://schemas.microsoft.com/office/excel/2006/main">
          <x14:cfRule type="cellIs" priority="10" operator="lessThan" id="{21BE8D99-40F5-4C96-BBEE-A1213E048596}">
            <xm:f>Awareness!#REF!</xm:f>
            <x14:dxf>
              <font>
                <color rgb="FFFF0000"/>
              </font>
            </x14:dxf>
          </x14:cfRule>
          <xm:sqref>L42:L48 O42:XFD49</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sheetPr>
  <dimension ref="A1:S83"/>
  <sheetViews>
    <sheetView zoomScale="83" zoomScaleNormal="89" zoomScalePageLayoutView="42" workbookViewId="0">
      <pane xSplit="1" ySplit="2" topLeftCell="D38" activePane="bottomRight" state="frozen"/>
      <selection pane="topRight" activeCell="B1" sqref="B1"/>
      <selection pane="bottomLeft" activeCell="A3" sqref="A3"/>
      <selection pane="bottomRight" activeCell="A56" sqref="A56"/>
    </sheetView>
  </sheetViews>
  <sheetFormatPr baseColWidth="10" defaultColWidth="14.5" defaultRowHeight="15" x14ac:dyDescent="0.2"/>
  <cols>
    <col min="1" max="1" width="51.1640625" customWidth="1"/>
    <col min="2" max="2" width="45.1640625" customWidth="1"/>
    <col min="3" max="3" width="25.83203125" customWidth="1"/>
    <col min="4" max="4" width="20.5" customWidth="1"/>
    <col min="5" max="13" width="25.83203125" customWidth="1"/>
    <col min="14" max="15" width="23.1640625" customWidth="1"/>
    <col min="16" max="16" width="24.5" customWidth="1"/>
    <col min="17" max="17" width="31.1640625" customWidth="1"/>
  </cols>
  <sheetData>
    <row r="1" spans="1:17" ht="34" customHeight="1" x14ac:dyDescent="0.25">
      <c r="A1" s="677" t="s">
        <v>7456</v>
      </c>
      <c r="B1" s="676" t="s">
        <v>7457</v>
      </c>
      <c r="C1" s="674" t="s">
        <v>7348</v>
      </c>
      <c r="D1" s="674"/>
      <c r="E1" s="674"/>
      <c r="F1" s="674"/>
      <c r="G1" s="674"/>
      <c r="H1" s="674"/>
      <c r="I1" s="675" t="s">
        <v>7503</v>
      </c>
      <c r="J1" s="675"/>
      <c r="K1" s="675"/>
      <c r="L1" s="675"/>
      <c r="M1" s="675"/>
    </row>
    <row r="2" spans="1:17" ht="35.25" customHeight="1" x14ac:dyDescent="0.25">
      <c r="A2" s="677"/>
      <c r="B2" s="701"/>
      <c r="C2" s="314" t="s">
        <v>7350</v>
      </c>
      <c r="D2" s="315" t="s">
        <v>7562</v>
      </c>
      <c r="E2" s="316" t="s">
        <v>7563</v>
      </c>
      <c r="F2" s="317" t="s">
        <v>7353</v>
      </c>
      <c r="G2" s="318" t="s">
        <v>7458</v>
      </c>
      <c r="H2" s="308" t="s">
        <v>7355</v>
      </c>
      <c r="I2" s="309" t="s">
        <v>7350</v>
      </c>
      <c r="J2" s="310" t="s">
        <v>7353</v>
      </c>
      <c r="K2" s="313" t="s">
        <v>7458</v>
      </c>
      <c r="L2" s="311" t="s">
        <v>7355</v>
      </c>
      <c r="M2" s="312" t="s">
        <v>7459</v>
      </c>
    </row>
    <row r="3" spans="1:17" s="42" customFormat="1" ht="26.25" customHeight="1" x14ac:dyDescent="0.3">
      <c r="A3" s="721" t="s">
        <v>7603</v>
      </c>
      <c r="B3" s="175" t="s">
        <v>7520</v>
      </c>
      <c r="C3" s="148">
        <f>15+12</f>
        <v>27</v>
      </c>
      <c r="D3" s="149">
        <v>0</v>
      </c>
      <c r="E3" s="148">
        <v>0</v>
      </c>
      <c r="F3" s="148">
        <v>0</v>
      </c>
      <c r="G3" s="148">
        <v>0</v>
      </c>
      <c r="H3" s="171">
        <f>G3+F3-C3</f>
        <v>-27</v>
      </c>
      <c r="I3" s="148">
        <f>SUMIFS('Cashbook ING'!$B:$B, 'Cashbook ING'!$A:$A, "SP_Fuzball_Prize")</f>
        <v>-38.79</v>
      </c>
      <c r="J3" s="148">
        <f>SUMIFS('Cashbook Wix'!$B$2:$B$7012,'Cashbook Wix'!$A$2:$A$7012,"SP_")</f>
        <v>0</v>
      </c>
      <c r="K3" s="148">
        <v>0</v>
      </c>
      <c r="L3" s="175">
        <f>K3+J3+I3</f>
        <v>-38.79</v>
      </c>
      <c r="M3" s="175">
        <f>L3-H3</f>
        <v>-11.79</v>
      </c>
      <c r="N3"/>
      <c r="O3"/>
      <c r="P3"/>
      <c r="Q3"/>
    </row>
    <row r="4" spans="1:17" s="42" customFormat="1" ht="26.25" customHeight="1" x14ac:dyDescent="0.3">
      <c r="A4" s="721"/>
      <c r="B4" s="175" t="s">
        <v>7508</v>
      </c>
      <c r="C4" s="148">
        <v>50</v>
      </c>
      <c r="D4" s="149">
        <v>0</v>
      </c>
      <c r="E4" s="148">
        <v>0</v>
      </c>
      <c r="F4" s="148">
        <v>0</v>
      </c>
      <c r="G4" s="148">
        <v>0</v>
      </c>
      <c r="H4" s="171">
        <f>G4+F4-C4</f>
        <v>-50</v>
      </c>
      <c r="I4" s="148">
        <f>SUMIFS('Cashbook ING'!$B:$B, 'Cashbook ING'!$A:$A, "SP_")</f>
        <v>0</v>
      </c>
      <c r="J4" s="148">
        <f>SUMIFS('Cashbook Wix'!$B$2:$B$7012,'Cashbook Wix'!$A$2:$A$7012,"SP_")</f>
        <v>0</v>
      </c>
      <c r="K4" s="148">
        <v>0</v>
      </c>
      <c r="L4" s="175">
        <f>K4+J4+I4</f>
        <v>0</v>
      </c>
      <c r="M4" s="175">
        <f t="shared" ref="M4:M5" si="0">L4-H4</f>
        <v>50</v>
      </c>
      <c r="N4"/>
      <c r="O4"/>
      <c r="P4"/>
      <c r="Q4"/>
    </row>
    <row r="5" spans="1:17" s="42" customFormat="1" ht="26.25" customHeight="1" x14ac:dyDescent="0.3">
      <c r="A5" s="721"/>
      <c r="B5" s="175" t="s">
        <v>7509</v>
      </c>
      <c r="C5" s="148">
        <v>0</v>
      </c>
      <c r="D5" s="149">
        <v>32</v>
      </c>
      <c r="E5" s="148">
        <v>0</v>
      </c>
      <c r="F5" s="148">
        <f>E5*D5</f>
        <v>0</v>
      </c>
      <c r="G5" s="148">
        <v>0</v>
      </c>
      <c r="H5" s="171">
        <f t="shared" ref="H5" si="1">G5+F5-C5</f>
        <v>0</v>
      </c>
      <c r="I5" s="148">
        <v>0</v>
      </c>
      <c r="J5" s="148">
        <f>SUMIFS('Cashbook Wix'!$B$2:$B$7012,'Cashbook Wix'!$A$2:$A$7012,"SP_")</f>
        <v>0</v>
      </c>
      <c r="K5" s="148">
        <v>0</v>
      </c>
      <c r="L5" s="175">
        <f t="shared" ref="L5" si="2">K5+J5+I5</f>
        <v>0</v>
      </c>
      <c r="M5" s="175">
        <f t="shared" si="0"/>
        <v>0</v>
      </c>
      <c r="N5"/>
      <c r="O5"/>
      <c r="P5"/>
      <c r="Q5"/>
    </row>
    <row r="6" spans="1:17" s="42" customFormat="1" ht="26.25" customHeight="1" x14ac:dyDescent="0.3">
      <c r="A6" s="724"/>
      <c r="B6" s="327" t="s">
        <v>7604</v>
      </c>
      <c r="C6" s="325">
        <f>SUM(C3:C5)</f>
        <v>77</v>
      </c>
      <c r="D6" s="326">
        <f>SUM(D3:D5)</f>
        <v>32</v>
      </c>
      <c r="E6" s="325">
        <v>0</v>
      </c>
      <c r="F6" s="325">
        <f t="shared" ref="F6:L6" si="3">SUM(F3:F5)</f>
        <v>0</v>
      </c>
      <c r="G6" s="325">
        <f t="shared" si="3"/>
        <v>0</v>
      </c>
      <c r="H6" s="327">
        <f t="shared" si="3"/>
        <v>-77</v>
      </c>
      <c r="I6" s="325">
        <f t="shared" si="3"/>
        <v>-38.79</v>
      </c>
      <c r="J6" s="325">
        <f t="shared" si="3"/>
        <v>0</v>
      </c>
      <c r="K6" s="325">
        <f t="shared" si="3"/>
        <v>0</v>
      </c>
      <c r="L6" s="327">
        <f t="shared" si="3"/>
        <v>-38.79</v>
      </c>
      <c r="M6" s="327">
        <f>SUM(M3:M5)</f>
        <v>38.21</v>
      </c>
      <c r="N6"/>
      <c r="O6"/>
      <c r="P6"/>
      <c r="Q6"/>
    </row>
    <row r="7" spans="1:17" s="42" customFormat="1" ht="26.25" customHeight="1" x14ac:dyDescent="0.3">
      <c r="A7" s="721" t="s">
        <v>7605</v>
      </c>
      <c r="B7" s="523" t="s">
        <v>7560</v>
      </c>
      <c r="C7" s="432">
        <v>50</v>
      </c>
      <c r="D7" s="149">
        <v>0</v>
      </c>
      <c r="E7" s="148">
        <v>0</v>
      </c>
      <c r="F7" s="148">
        <v>0</v>
      </c>
      <c r="G7" s="148">
        <v>0</v>
      </c>
      <c r="H7" s="171">
        <f t="shared" ref="H7:H9" si="4">G7+F7-C7</f>
        <v>-50</v>
      </c>
      <c r="I7" s="148">
        <f>SUMIFS('Cashbook ING'!$B:$B, 'Cashbook ING'!$A:$A, "SP_HIIT_Rent")</f>
        <v>-20</v>
      </c>
      <c r="J7" s="148">
        <f>SUMIFS('Cashbook Wix'!$B$2:$B$7012,'Cashbook Wix'!$A$2:$A$7012,"SP_")</f>
        <v>0</v>
      </c>
      <c r="K7" s="148">
        <v>0</v>
      </c>
      <c r="L7" s="175">
        <f>K7+J7+I7</f>
        <v>-20</v>
      </c>
      <c r="M7" s="175">
        <f>L7-H7</f>
        <v>30</v>
      </c>
      <c r="N7"/>
      <c r="O7"/>
      <c r="P7"/>
      <c r="Q7"/>
    </row>
    <row r="8" spans="1:17" s="42" customFormat="1" ht="26.25" customHeight="1" x14ac:dyDescent="0.3">
      <c r="A8" s="721"/>
      <c r="B8" s="523" t="s">
        <v>7509</v>
      </c>
      <c r="C8" s="432">
        <v>0</v>
      </c>
      <c r="D8" s="149">
        <v>15</v>
      </c>
      <c r="E8" s="148">
        <v>2</v>
      </c>
      <c r="F8" s="148">
        <f>E8*D8</f>
        <v>30</v>
      </c>
      <c r="G8" s="148">
        <v>0</v>
      </c>
      <c r="H8" s="171">
        <f t="shared" si="4"/>
        <v>30</v>
      </c>
      <c r="I8" s="148">
        <f>SUMIFS('Cashbook ING'!$B:$B, 'Cashbook ING'!$A:$A, "SP_")</f>
        <v>0</v>
      </c>
      <c r="J8" s="148">
        <f>SUMIFS('Cashbook Wix'!$B$2:$B$7012,'Cashbook Wix'!$A$2:$A$7012,"SP_HIIT_Member")</f>
        <v>25.130000000000003</v>
      </c>
      <c r="K8" s="148">
        <v>0</v>
      </c>
      <c r="L8" s="175">
        <f t="shared" ref="L8:L9" si="5">K8+J8+I8</f>
        <v>25.130000000000003</v>
      </c>
      <c r="M8" s="175">
        <f t="shared" ref="M8:M9" si="6">L8-H8</f>
        <v>-4.8699999999999974</v>
      </c>
      <c r="N8"/>
      <c r="O8"/>
      <c r="P8"/>
      <c r="Q8"/>
    </row>
    <row r="9" spans="1:17" ht="26.25" customHeight="1" x14ac:dyDescent="0.3">
      <c r="A9" s="721"/>
      <c r="B9" s="175" t="s">
        <v>7510</v>
      </c>
      <c r="C9" s="148">
        <v>0</v>
      </c>
      <c r="D9" s="149">
        <v>5</v>
      </c>
      <c r="E9" s="148">
        <v>4</v>
      </c>
      <c r="F9" s="148">
        <f>E9*D9</f>
        <v>20</v>
      </c>
      <c r="G9" s="148">
        <v>0</v>
      </c>
      <c r="H9" s="171">
        <f t="shared" si="4"/>
        <v>20</v>
      </c>
      <c r="I9" s="148">
        <f>SUMIFS('Cashbook ING'!$B:$B, 'Cashbook ING'!$A:$A, "SP_")</f>
        <v>0</v>
      </c>
      <c r="J9" s="148">
        <f>SUMIFS('Cashbook Wix'!$B$2:$B$7012,'Cashbook Wix'!$A$2:$A$7012,"SP_HIIT_NonMember")</f>
        <v>7.24</v>
      </c>
      <c r="K9" s="148">
        <v>0</v>
      </c>
      <c r="L9" s="175">
        <f t="shared" si="5"/>
        <v>7.24</v>
      </c>
      <c r="M9" s="175">
        <f t="shared" si="6"/>
        <v>-12.76</v>
      </c>
    </row>
    <row r="10" spans="1:17" ht="26" x14ac:dyDescent="0.3">
      <c r="A10" s="724"/>
      <c r="B10" s="327" t="s">
        <v>7604</v>
      </c>
      <c r="C10" s="325">
        <f>SUM(C7:C9)</f>
        <v>50</v>
      </c>
      <c r="D10" s="326">
        <f>SUM(D7:D9)</f>
        <v>20</v>
      </c>
      <c r="E10" s="325">
        <v>0</v>
      </c>
      <c r="F10" s="325">
        <f t="shared" ref="F10:L10" si="7">SUM(F7:F9)</f>
        <v>50</v>
      </c>
      <c r="G10" s="325">
        <f t="shared" si="7"/>
        <v>0</v>
      </c>
      <c r="H10" s="327">
        <f t="shared" si="7"/>
        <v>0</v>
      </c>
      <c r="I10" s="325">
        <f t="shared" si="7"/>
        <v>-20</v>
      </c>
      <c r="J10" s="325">
        <f t="shared" si="7"/>
        <v>32.370000000000005</v>
      </c>
      <c r="K10" s="325">
        <f t="shared" si="7"/>
        <v>0</v>
      </c>
      <c r="L10" s="327">
        <f t="shared" si="7"/>
        <v>12.370000000000003</v>
      </c>
      <c r="M10" s="327">
        <f>SUM(M7:M9)</f>
        <v>12.370000000000003</v>
      </c>
    </row>
    <row r="11" spans="1:17" ht="26" x14ac:dyDescent="0.3">
      <c r="A11" s="720" t="s">
        <v>7434</v>
      </c>
      <c r="B11" s="523" t="s">
        <v>7606</v>
      </c>
      <c r="C11" s="611">
        <f>8.1*40</f>
        <v>324</v>
      </c>
      <c r="D11" s="610">
        <v>0</v>
      </c>
      <c r="E11" s="611">
        <v>0</v>
      </c>
      <c r="F11" s="611">
        <v>0</v>
      </c>
      <c r="G11" s="145">
        <v>300</v>
      </c>
      <c r="H11" s="171">
        <f>G11+F11-C11</f>
        <v>-24</v>
      </c>
      <c r="I11" s="145">
        <f>SUMIFS('Cashbook ING'!$B:$B, 'Cashbook ING'!$A:$A, "SP_IceSkating_Tickets")</f>
        <v>-276</v>
      </c>
      <c r="J11" s="145">
        <f>SUMIFS('Cashbook Wix'!$B$2:$B$7012,'Cashbook Wix'!$A$2:$A$7012,"SP_")</f>
        <v>0</v>
      </c>
      <c r="K11" s="145">
        <v>0</v>
      </c>
      <c r="L11" s="174">
        <f>K11+J11+I11</f>
        <v>-276</v>
      </c>
      <c r="M11" s="175">
        <f>L11-H11</f>
        <v>-252</v>
      </c>
    </row>
    <row r="12" spans="1:17" ht="26" x14ac:dyDescent="0.3">
      <c r="A12" s="721"/>
      <c r="B12" s="523" t="s">
        <v>7544</v>
      </c>
      <c r="C12" s="432">
        <v>33</v>
      </c>
      <c r="D12" s="524">
        <v>0</v>
      </c>
      <c r="E12" s="432">
        <v>0</v>
      </c>
      <c r="F12" s="432">
        <v>0</v>
      </c>
      <c r="G12" s="148">
        <v>0</v>
      </c>
      <c r="H12" s="171">
        <f t="shared" ref="H12:H14" si="8">G12+F12-C12</f>
        <v>-33</v>
      </c>
      <c r="I12" s="148">
        <f>SUMIFS('Cashbook ING'!$B:$B, 'Cashbook ING'!$A:$A, "SP_IceSkating_Snacks")</f>
        <v>-18.62</v>
      </c>
      <c r="J12" s="148">
        <f>SUMIFS('Cashbook Wix'!$B$2:$B$7012,'Cashbook Wix'!$A$2:$A$7012,"SP_")</f>
        <v>0</v>
      </c>
      <c r="K12" s="148">
        <v>0</v>
      </c>
      <c r="L12" s="175">
        <f>K12+J12+I12</f>
        <v>-18.62</v>
      </c>
      <c r="M12" s="175">
        <f t="shared" ref="M12:M14" si="9">L12-H12</f>
        <v>14.379999999999999</v>
      </c>
    </row>
    <row r="13" spans="1:17" ht="26" x14ac:dyDescent="0.3">
      <c r="A13" s="721"/>
      <c r="B13" s="523" t="s">
        <v>7509</v>
      </c>
      <c r="C13" s="432">
        <v>0</v>
      </c>
      <c r="D13" s="524">
        <v>36</v>
      </c>
      <c r="E13" s="432">
        <v>2.5</v>
      </c>
      <c r="F13" s="432">
        <f>D13*E13</f>
        <v>90</v>
      </c>
      <c r="G13" s="148">
        <v>0</v>
      </c>
      <c r="H13" s="171">
        <f t="shared" si="8"/>
        <v>90</v>
      </c>
      <c r="I13" s="148">
        <f>SUMIFS('Cashbook ING'!$B:$B, 'Cashbook ING'!$A:$A, "SP_")</f>
        <v>0</v>
      </c>
      <c r="J13" s="148">
        <f>SUMIFS('Cashbook Wix'!$B$2:$B$7012,'Cashbook Wix'!$A$2:$A$7012,"SP_IceSkating_Member")</f>
        <v>58.109999999999985</v>
      </c>
      <c r="K13" s="148">
        <v>0</v>
      </c>
      <c r="L13" s="175">
        <f t="shared" ref="L13:L14" si="10">K13+J13+I13</f>
        <v>58.109999999999985</v>
      </c>
      <c r="M13" s="175">
        <f t="shared" si="9"/>
        <v>-31.890000000000015</v>
      </c>
    </row>
    <row r="14" spans="1:17" ht="26" x14ac:dyDescent="0.3">
      <c r="A14" s="721"/>
      <c r="B14" s="523" t="s">
        <v>7510</v>
      </c>
      <c r="C14" s="432">
        <v>0</v>
      </c>
      <c r="D14" s="524">
        <v>4</v>
      </c>
      <c r="E14" s="432">
        <v>4.5</v>
      </c>
      <c r="F14" s="432">
        <f>D14*E14</f>
        <v>18</v>
      </c>
      <c r="G14" s="148">
        <v>0</v>
      </c>
      <c r="H14" s="171">
        <f t="shared" si="8"/>
        <v>18</v>
      </c>
      <c r="I14" s="148">
        <f>SUMIFS('Cashbook ING'!$B:$B, 'Cashbook ING'!$A:$A, "SP_")</f>
        <v>0</v>
      </c>
      <c r="J14" s="148">
        <f>SUMIFS('Cashbook Wix'!$B$2:$B$7012,'Cashbook Wix'!$A$2:$A$7012,"SP_IceSkating_NonMember")</f>
        <v>20.47</v>
      </c>
      <c r="K14" s="148">
        <v>0</v>
      </c>
      <c r="L14" s="175">
        <f t="shared" si="10"/>
        <v>20.47</v>
      </c>
      <c r="M14" s="175">
        <f t="shared" si="9"/>
        <v>2.4699999999999989</v>
      </c>
    </row>
    <row r="15" spans="1:17" ht="26" x14ac:dyDescent="0.3">
      <c r="A15" s="724"/>
      <c r="B15" s="327" t="s">
        <v>7511</v>
      </c>
      <c r="C15" s="325">
        <f>SUM(C11:C14)</f>
        <v>357</v>
      </c>
      <c r="D15" s="326">
        <f t="shared" ref="D15:L15" si="11">SUM(D11:D14)</f>
        <v>40</v>
      </c>
      <c r="E15" s="325">
        <v>0</v>
      </c>
      <c r="F15" s="325">
        <f t="shared" si="11"/>
        <v>108</v>
      </c>
      <c r="G15" s="325">
        <f t="shared" si="11"/>
        <v>300</v>
      </c>
      <c r="H15" s="327">
        <f>SUM(H11:H14)</f>
        <v>51</v>
      </c>
      <c r="I15" s="325">
        <f>SUM(I11:I14)</f>
        <v>-294.62</v>
      </c>
      <c r="J15" s="325">
        <f t="shared" si="11"/>
        <v>78.579999999999984</v>
      </c>
      <c r="K15" s="325">
        <f t="shared" si="11"/>
        <v>0</v>
      </c>
      <c r="L15" s="327">
        <f t="shared" si="11"/>
        <v>-216.04000000000002</v>
      </c>
      <c r="M15" s="327">
        <f>SUM(M11:M14)</f>
        <v>-267.03999999999996</v>
      </c>
    </row>
    <row r="16" spans="1:17" ht="26" x14ac:dyDescent="0.3">
      <c r="A16" s="720" t="s">
        <v>7607</v>
      </c>
      <c r="B16" s="523" t="s">
        <v>7608</v>
      </c>
      <c r="C16" s="432">
        <v>85</v>
      </c>
      <c r="D16" s="149">
        <v>0</v>
      </c>
      <c r="E16" s="148">
        <v>0</v>
      </c>
      <c r="F16" s="148">
        <v>0</v>
      </c>
      <c r="G16" s="148">
        <v>0</v>
      </c>
      <c r="H16" s="171">
        <f t="shared" ref="H16:H18" si="12">F16+G16-C16</f>
        <v>-85</v>
      </c>
      <c r="I16" s="432">
        <f>SUMIFS('Cashbook ING'!$B:$B, 'Cashbook ING'!$A:$A, "SP_PoolBorrel_Tables")</f>
        <v>-60</v>
      </c>
      <c r="J16" s="148">
        <f>SUMIFS('Cashbook Wix'!$B$2:$B$7012,'Cashbook Wix'!$A$2:$A$7012,"SP_")</f>
        <v>0</v>
      </c>
      <c r="K16" s="148">
        <v>0</v>
      </c>
      <c r="L16" s="175">
        <f>K16+J16+I16</f>
        <v>-60</v>
      </c>
      <c r="M16" s="175">
        <f>L16-H16</f>
        <v>25</v>
      </c>
    </row>
    <row r="17" spans="1:13" ht="26" x14ac:dyDescent="0.3">
      <c r="A17" s="721"/>
      <c r="B17" s="175" t="s">
        <v>7564</v>
      </c>
      <c r="C17" s="148">
        <v>200</v>
      </c>
      <c r="D17" s="149">
        <v>0</v>
      </c>
      <c r="E17" s="148">
        <v>0</v>
      </c>
      <c r="F17" s="148">
        <v>0</v>
      </c>
      <c r="G17" s="148">
        <v>0</v>
      </c>
      <c r="H17" s="171">
        <f t="shared" si="12"/>
        <v>-200</v>
      </c>
      <c r="I17" s="148">
        <f>SUMIFS('Cashbook ING'!$B:$B, 'Cashbook ING'!$A:$A, "SP_PoolBorrel_Tokens")</f>
        <v>-233</v>
      </c>
      <c r="J17" s="148">
        <f>SUMIFS('Cashbook Wix'!$B$2:$B$7012,'Cashbook Wix'!$A$2:$A$7012,"SP_")</f>
        <v>0</v>
      </c>
      <c r="K17" s="148">
        <v>0</v>
      </c>
      <c r="L17" s="175">
        <f>K17+J17+I17</f>
        <v>-233</v>
      </c>
      <c r="M17" s="175">
        <f t="shared" ref="M17:M19" si="13">L17-H17</f>
        <v>-33</v>
      </c>
    </row>
    <row r="18" spans="1:13" ht="26" x14ac:dyDescent="0.3">
      <c r="A18" s="721"/>
      <c r="B18" s="175" t="s">
        <v>7509</v>
      </c>
      <c r="C18" s="148">
        <v>0</v>
      </c>
      <c r="D18" s="149">
        <v>45</v>
      </c>
      <c r="E18" s="148">
        <v>4</v>
      </c>
      <c r="F18" s="148">
        <f t="shared" ref="F18:F19" si="14">E18*D18</f>
        <v>180</v>
      </c>
      <c r="G18" s="148">
        <v>0</v>
      </c>
      <c r="H18" s="171">
        <f t="shared" si="12"/>
        <v>180</v>
      </c>
      <c r="I18" s="148">
        <f>SUMIFS('Cashbook ING'!$B:$B, 'Cashbook ING'!$A:$A, "SP_")</f>
        <v>0</v>
      </c>
      <c r="J18" s="148">
        <f>SUMIFS('Cashbook Wix'!$B$2:$B$7012,'Cashbook Wix'!$A$2:$A$7012,"SP_PoolBorrel_Member")</f>
        <v>182.47</v>
      </c>
      <c r="K18" s="148">
        <v>0</v>
      </c>
      <c r="L18" s="175">
        <f t="shared" ref="L18:L19" si="15">K18+J18+I18</f>
        <v>182.47</v>
      </c>
      <c r="M18" s="175">
        <f t="shared" si="13"/>
        <v>2.4699999999999989</v>
      </c>
    </row>
    <row r="19" spans="1:13" ht="26" x14ac:dyDescent="0.3">
      <c r="A19" s="721"/>
      <c r="B19" s="175" t="s">
        <v>7510</v>
      </c>
      <c r="C19" s="148">
        <v>0</v>
      </c>
      <c r="D19" s="149">
        <v>5</v>
      </c>
      <c r="E19" s="148">
        <v>6</v>
      </c>
      <c r="F19" s="148">
        <f t="shared" si="14"/>
        <v>30</v>
      </c>
      <c r="G19" s="148">
        <v>0</v>
      </c>
      <c r="H19" s="171">
        <f>F19+G19-C19</f>
        <v>30</v>
      </c>
      <c r="I19" s="148">
        <f>SUMIFS('Cashbook ING'!$B:$B, 'Cashbook ING'!$A:$A, "SP_")</f>
        <v>0</v>
      </c>
      <c r="J19" s="148">
        <f>SUMIFS('Cashbook Wix'!$B$2:$B$7012,'Cashbook Wix'!$A$2:$A$7012,"SP_PoolBorrel_NonMember")</f>
        <v>0</v>
      </c>
      <c r="K19" s="148">
        <v>0</v>
      </c>
      <c r="L19" s="175">
        <f t="shared" si="15"/>
        <v>0</v>
      </c>
      <c r="M19" s="175">
        <f t="shared" si="13"/>
        <v>-30</v>
      </c>
    </row>
    <row r="20" spans="1:13" ht="26" x14ac:dyDescent="0.3">
      <c r="A20" s="724"/>
      <c r="B20" s="324" t="s">
        <v>7511</v>
      </c>
      <c r="C20" s="320">
        <f>SUM(C16:C19)</f>
        <v>285</v>
      </c>
      <c r="D20" s="321">
        <f>SUM(D18:D19)</f>
        <v>50</v>
      </c>
      <c r="E20" s="320">
        <v>0</v>
      </c>
      <c r="F20" s="320">
        <f t="shared" ref="F20:L20" si="16">SUM(F16:F19)</f>
        <v>210</v>
      </c>
      <c r="G20" s="320">
        <f t="shared" si="16"/>
        <v>0</v>
      </c>
      <c r="H20" s="324">
        <f t="shared" si="16"/>
        <v>-75</v>
      </c>
      <c r="I20" s="320">
        <f t="shared" si="16"/>
        <v>-293</v>
      </c>
      <c r="J20" s="320">
        <f t="shared" si="16"/>
        <v>182.47</v>
      </c>
      <c r="K20" s="320">
        <f t="shared" si="16"/>
        <v>0</v>
      </c>
      <c r="L20" s="324">
        <f t="shared" si="16"/>
        <v>-110.53</v>
      </c>
      <c r="M20" s="324">
        <f>SUM(M16:M19)</f>
        <v>-35.53</v>
      </c>
    </row>
    <row r="21" spans="1:13" ht="26" customHeight="1" x14ac:dyDescent="0.3">
      <c r="A21" s="739" t="s">
        <v>7428</v>
      </c>
      <c r="B21" s="174" t="s">
        <v>7570</v>
      </c>
      <c r="C21" s="150">
        <v>400</v>
      </c>
      <c r="D21" s="146">
        <v>0</v>
      </c>
      <c r="E21" s="145">
        <v>0</v>
      </c>
      <c r="F21" s="145">
        <v>0</v>
      </c>
      <c r="G21" s="145">
        <v>200</v>
      </c>
      <c r="H21" s="170">
        <f>F21+G21-C21</f>
        <v>-200</v>
      </c>
      <c r="I21" s="145">
        <f>SUMIFS('Cashbook ING'!$B:$B, 'Cashbook ING'!$A:$A, "BD_Bowling_Rent")</f>
        <v>-382.5</v>
      </c>
      <c r="J21" s="145">
        <f>SUMIFS('Cashbook Wix'!$B$2:$B$7012,'Cashbook Wix'!$A$2:$A$7012,"SP_")</f>
        <v>0</v>
      </c>
      <c r="K21" s="145">
        <v>0</v>
      </c>
      <c r="L21" s="145">
        <f>K21+J21+I21</f>
        <v>-382.5</v>
      </c>
      <c r="M21" s="604">
        <f>L21-H21</f>
        <v>-182.5</v>
      </c>
    </row>
    <row r="22" spans="1:13" ht="26" customHeight="1" x14ac:dyDescent="0.3">
      <c r="A22" s="739"/>
      <c r="B22" s="523" t="s">
        <v>7544</v>
      </c>
      <c r="C22" s="621">
        <v>37</v>
      </c>
      <c r="D22" s="149">
        <v>0</v>
      </c>
      <c r="E22" s="148">
        <v>0</v>
      </c>
      <c r="F22" s="148">
        <v>0</v>
      </c>
      <c r="G22" s="148">
        <v>0</v>
      </c>
      <c r="H22" s="171">
        <f>F22+G22-C22</f>
        <v>-37</v>
      </c>
      <c r="I22" s="148">
        <f>SUMIFS('Cashbook ING'!$B:$B, 'Cashbook ING'!$A:$A, "BD_Bowling_OpenBar")</f>
        <v>-160</v>
      </c>
      <c r="J22" s="148">
        <f>SUMIFS('Cashbook Wix'!$B$2:$B$7012,'Cashbook Wix'!$A$2:$A$7012,"SP_")</f>
        <v>0</v>
      </c>
      <c r="K22" s="148">
        <v>0</v>
      </c>
      <c r="L22" s="148">
        <f t="shared" ref="L22:L24" si="17">K22+J22+I22</f>
        <v>-160</v>
      </c>
      <c r="M22" s="604">
        <f t="shared" ref="M22:M24" si="18">L22-H22</f>
        <v>-123</v>
      </c>
    </row>
    <row r="23" spans="1:13" ht="26" x14ac:dyDescent="0.3">
      <c r="A23" s="739"/>
      <c r="B23" s="175" t="s">
        <v>7509</v>
      </c>
      <c r="C23" s="567">
        <v>0</v>
      </c>
      <c r="D23" s="149">
        <v>41</v>
      </c>
      <c r="E23" s="148">
        <v>5</v>
      </c>
      <c r="F23" s="148">
        <f>D23*E23</f>
        <v>205</v>
      </c>
      <c r="G23" s="148">
        <v>0</v>
      </c>
      <c r="H23" s="171">
        <f t="shared" ref="H23:H24" si="19">F23+G23-C23</f>
        <v>205</v>
      </c>
      <c r="I23" s="148">
        <f>SUMIFS('Cashbook ING'!$B:$B, 'Cashbook ING'!$A:$A, "SP_")</f>
        <v>0</v>
      </c>
      <c r="J23" s="148">
        <f>SUMIFS('Cashbook Wix'!$B$2:$B$7012,'Cashbook Wix'!$A$2:$A$7012,"BD_Bowling_Member")</f>
        <v>200.36000000000013</v>
      </c>
      <c r="K23" s="148">
        <v>0</v>
      </c>
      <c r="L23" s="148">
        <f t="shared" si="17"/>
        <v>200.36000000000013</v>
      </c>
      <c r="M23" s="604">
        <f t="shared" si="18"/>
        <v>-4.6399999999998727</v>
      </c>
    </row>
    <row r="24" spans="1:13" ht="26" x14ac:dyDescent="0.3">
      <c r="A24" s="739"/>
      <c r="B24" s="175" t="s">
        <v>7510</v>
      </c>
      <c r="C24" s="567">
        <v>0</v>
      </c>
      <c r="D24" s="149">
        <v>4</v>
      </c>
      <c r="E24" s="148">
        <v>6</v>
      </c>
      <c r="F24" s="148">
        <f>D24*E24</f>
        <v>24</v>
      </c>
      <c r="G24" s="148">
        <v>0</v>
      </c>
      <c r="H24" s="171">
        <f t="shared" si="19"/>
        <v>24</v>
      </c>
      <c r="I24" s="148">
        <f>SUMIFS('Cashbook ING'!$B:$B, 'Cashbook ING'!$A:$A, "SP_")</f>
        <v>0</v>
      </c>
      <c r="J24" s="148">
        <f>SUMIFS('Cashbook Wix'!$B$2:$B$7012,'Cashbook Wix'!$A$2:$A$7012,"BD_Bowling_NonMember")</f>
        <v>22.55</v>
      </c>
      <c r="K24" s="148">
        <v>0</v>
      </c>
      <c r="L24" s="148">
        <f t="shared" si="17"/>
        <v>22.55</v>
      </c>
      <c r="M24" s="604">
        <f t="shared" si="18"/>
        <v>-1.4499999999999993</v>
      </c>
    </row>
    <row r="25" spans="1:13" ht="26" x14ac:dyDescent="0.3">
      <c r="A25" s="740"/>
      <c r="B25" s="568" t="s">
        <v>7604</v>
      </c>
      <c r="C25" s="569">
        <f>SUM(C21:C24)</f>
        <v>437</v>
      </c>
      <c r="D25" s="570">
        <f>SUM(D21:D24)</f>
        <v>45</v>
      </c>
      <c r="E25" s="571">
        <v>0</v>
      </c>
      <c r="F25" s="571">
        <f t="shared" ref="F25:L25" si="20">SUM(F21:F24)</f>
        <v>229</v>
      </c>
      <c r="G25" s="571">
        <f t="shared" si="20"/>
        <v>200</v>
      </c>
      <c r="H25" s="572">
        <f t="shared" si="20"/>
        <v>-8</v>
      </c>
      <c r="I25" s="571">
        <f t="shared" si="20"/>
        <v>-542.5</v>
      </c>
      <c r="J25" s="571">
        <f t="shared" si="20"/>
        <v>222.91000000000014</v>
      </c>
      <c r="K25" s="571">
        <f t="shared" si="20"/>
        <v>0</v>
      </c>
      <c r="L25" s="571">
        <f t="shared" si="20"/>
        <v>-319.58999999999986</v>
      </c>
      <c r="M25" s="605">
        <f>SUM(M21:M24)</f>
        <v>-311.58999999999986</v>
      </c>
    </row>
    <row r="26" spans="1:13" ht="27" customHeight="1" x14ac:dyDescent="0.3">
      <c r="A26" s="741" t="s">
        <v>7609</v>
      </c>
      <c r="B26" s="523" t="s">
        <v>7560</v>
      </c>
      <c r="C26" s="621">
        <v>0</v>
      </c>
      <c r="D26" s="149">
        <v>0</v>
      </c>
      <c r="E26" s="148">
        <v>0</v>
      </c>
      <c r="F26" s="148">
        <v>0</v>
      </c>
      <c r="G26" s="148">
        <v>0</v>
      </c>
      <c r="H26" s="171">
        <f>F26+G26-C26</f>
        <v>0</v>
      </c>
      <c r="I26" s="432">
        <f>SUMIFS('Cashbook ING'!$B:$B, 'Cashbook ING'!$A:$A, "SP_SpinClass_Rent")+SUMIFS('Cashbook ING'!$B:$B, 'Cashbook ING'!$A:$A, "SP_SpinClass_Drinks&amp;Snacks")</f>
        <v>-107.18</v>
      </c>
      <c r="J26" s="148">
        <f>SUMIFS('Cashbook Wix'!$B$2:$B$7012,'Cashbook Wix'!$A$2:$A$7012,"SP_")</f>
        <v>0</v>
      </c>
      <c r="K26" s="148">
        <v>0</v>
      </c>
      <c r="L26" s="148">
        <f t="shared" ref="L26:L28" si="21">K26+J26+I26</f>
        <v>-107.18</v>
      </c>
      <c r="M26" s="604">
        <f t="shared" ref="M26:M28" si="22">L26-H26</f>
        <v>-107.18</v>
      </c>
    </row>
    <row r="27" spans="1:13" ht="26" x14ac:dyDescent="0.3">
      <c r="A27" s="742"/>
      <c r="B27" s="175" t="s">
        <v>7509</v>
      </c>
      <c r="C27" s="148">
        <v>0</v>
      </c>
      <c r="D27" s="149">
        <v>14</v>
      </c>
      <c r="E27" s="148">
        <v>2</v>
      </c>
      <c r="F27" s="148">
        <f>E27*D27</f>
        <v>28</v>
      </c>
      <c r="G27" s="148">
        <v>0</v>
      </c>
      <c r="H27" s="171">
        <f>F27+G27-C27</f>
        <v>28</v>
      </c>
      <c r="I27" s="148">
        <f>SUMIFS('Cashbook ING'!$B:$B, 'Cashbook ING'!$A:$A, "SP_")</f>
        <v>0</v>
      </c>
      <c r="J27" s="148">
        <f>SUMIFS('Cashbook Wix'!$B$2:$B$7012,'Cashbook Wix'!$A$2:$A$7012,"SP_SpinClass_Member")</f>
        <v>31.600000000000005</v>
      </c>
      <c r="K27" s="148">
        <v>0</v>
      </c>
      <c r="L27" s="148">
        <f t="shared" si="21"/>
        <v>31.600000000000005</v>
      </c>
      <c r="M27" s="604">
        <f t="shared" si="22"/>
        <v>3.600000000000005</v>
      </c>
    </row>
    <row r="28" spans="1:13" ht="26" x14ac:dyDescent="0.3">
      <c r="A28" s="742"/>
      <c r="B28" s="175" t="s">
        <v>7510</v>
      </c>
      <c r="C28" s="148">
        <v>0</v>
      </c>
      <c r="D28" s="149">
        <v>1</v>
      </c>
      <c r="E28" s="148">
        <v>4</v>
      </c>
      <c r="F28" s="148">
        <f>E28*D28</f>
        <v>4</v>
      </c>
      <c r="G28" s="148">
        <v>0</v>
      </c>
      <c r="H28" s="171">
        <f t="shared" ref="H28" si="23">F28+G28-C28</f>
        <v>4</v>
      </c>
      <c r="I28" s="148">
        <f>SUMIFS('Cashbook ING'!$B:$B, 'Cashbook ING'!$A:$A, "SP_")</f>
        <v>0</v>
      </c>
      <c r="J28" s="148">
        <f>SUMIFS('Cashbook Wix'!$B$2:$B$7012,'Cashbook Wix'!$A$2:$A$7012,"SP_SpinClass_NonMember")</f>
        <v>15.05</v>
      </c>
      <c r="K28" s="148">
        <v>0</v>
      </c>
      <c r="L28" s="148">
        <f t="shared" si="21"/>
        <v>15.05</v>
      </c>
      <c r="M28" s="604">
        <f t="shared" si="22"/>
        <v>11.05</v>
      </c>
    </row>
    <row r="29" spans="1:13" ht="27" x14ac:dyDescent="0.3">
      <c r="A29" s="743"/>
      <c r="B29" s="376" t="s">
        <v>7604</v>
      </c>
      <c r="C29" s="511">
        <f>SUM(C26:C28)</f>
        <v>0</v>
      </c>
      <c r="D29" s="321">
        <f>SUM(D27:D28)</f>
        <v>15</v>
      </c>
      <c r="E29" s="320">
        <v>0</v>
      </c>
      <c r="F29" s="320">
        <f t="shared" ref="F29:M29" si="24">SUM(F26:F28)</f>
        <v>32</v>
      </c>
      <c r="G29" s="320">
        <f t="shared" si="24"/>
        <v>0</v>
      </c>
      <c r="H29" s="324">
        <f t="shared" si="24"/>
        <v>32</v>
      </c>
      <c r="I29" s="511">
        <f t="shared" si="24"/>
        <v>-107.18</v>
      </c>
      <c r="J29" s="320">
        <f t="shared" si="24"/>
        <v>46.650000000000006</v>
      </c>
      <c r="K29" s="320">
        <f t="shared" si="24"/>
        <v>0</v>
      </c>
      <c r="L29" s="324">
        <f t="shared" si="24"/>
        <v>-60.53</v>
      </c>
      <c r="M29" s="324">
        <f t="shared" si="24"/>
        <v>-92.53</v>
      </c>
    </row>
    <row r="30" spans="1:13" ht="26" customHeight="1" x14ac:dyDescent="0.3">
      <c r="A30" s="736" t="s">
        <v>7610</v>
      </c>
      <c r="B30" s="545" t="s">
        <v>7560</v>
      </c>
      <c r="C30" s="563">
        <v>300</v>
      </c>
      <c r="D30" s="557">
        <v>0</v>
      </c>
      <c r="E30" s="558">
        <v>0</v>
      </c>
      <c r="F30" s="558">
        <v>0</v>
      </c>
      <c r="G30" s="558">
        <v>0</v>
      </c>
      <c r="H30" s="559">
        <f>G30+F30-C30</f>
        <v>-300</v>
      </c>
      <c r="I30" s="586">
        <f>SUMIFS('Cashbook ING'!$B:$B, 'Cashbook ING'!$A:$A, "SP_FootballTournament_Fields ")</f>
        <v>-140</v>
      </c>
      <c r="J30" s="558">
        <f>SUMIFS('Cashbook Wix'!$B$2:$B$7012,'Cashbook Wix'!$A$2:$A$7012,"SP_")</f>
        <v>0</v>
      </c>
      <c r="K30" s="558">
        <v>0</v>
      </c>
      <c r="L30" s="587">
        <f>K30+J30+I30</f>
        <v>-140</v>
      </c>
      <c r="M30" s="600">
        <f>L30-H30</f>
        <v>160</v>
      </c>
    </row>
    <row r="31" spans="1:13" ht="27" x14ac:dyDescent="0.3">
      <c r="A31" s="737"/>
      <c r="B31" s="546" t="s">
        <v>7611</v>
      </c>
      <c r="C31" s="564">
        <v>75</v>
      </c>
      <c r="D31" s="524">
        <v>0</v>
      </c>
      <c r="E31" s="432">
        <v>0</v>
      </c>
      <c r="F31" s="432">
        <v>0</v>
      </c>
      <c r="G31" s="432">
        <v>0</v>
      </c>
      <c r="H31" s="555">
        <f t="shared" ref="H31:H35" si="25">G31+F31-C31</f>
        <v>-75</v>
      </c>
      <c r="I31" s="554">
        <f>SUMIFS('Cashbook ING'!$B:$B, 'Cashbook ING'!$A:$A, "SP_FootballTournament_Snacks&amp;Supplies")</f>
        <v>-145.95999999999998</v>
      </c>
      <c r="J31" s="432">
        <f>SUMIFS('Cashbook Wix'!$B$2:$B$7012,'Cashbook Wix'!$A$2:$A$7012,"SP_")</f>
        <v>0</v>
      </c>
      <c r="K31" s="432">
        <v>0</v>
      </c>
      <c r="L31" s="553">
        <f t="shared" ref="L31:L35" si="26">K31+J31+I31</f>
        <v>-145.95999999999998</v>
      </c>
      <c r="M31" s="601">
        <f t="shared" ref="M31:M35" si="27">L31-H31</f>
        <v>-70.95999999999998</v>
      </c>
    </row>
    <row r="32" spans="1:13" ht="27" x14ac:dyDescent="0.3">
      <c r="A32" s="737"/>
      <c r="B32" s="546" t="s">
        <v>7612</v>
      </c>
      <c r="C32" s="564">
        <v>15</v>
      </c>
      <c r="D32" s="524">
        <v>0</v>
      </c>
      <c r="E32" s="432">
        <v>0</v>
      </c>
      <c r="F32" s="432">
        <v>0</v>
      </c>
      <c r="G32" s="432">
        <v>0</v>
      </c>
      <c r="H32" s="555">
        <f t="shared" si="25"/>
        <v>-15</v>
      </c>
      <c r="I32" s="554">
        <f>SUMIFS('Cashbook ING'!$B:$B, 'Cashbook ING'!$A:$A, "SP_")</f>
        <v>0</v>
      </c>
      <c r="J32" s="432">
        <f>SUMIFS('Cashbook Wix'!$B$2:$B$7012,'Cashbook Wix'!$A$2:$A$7012,"SP_")</f>
        <v>0</v>
      </c>
      <c r="K32" s="432">
        <v>0</v>
      </c>
      <c r="L32" s="553">
        <f t="shared" si="26"/>
        <v>0</v>
      </c>
      <c r="M32" s="601">
        <f t="shared" si="27"/>
        <v>15</v>
      </c>
    </row>
    <row r="33" spans="1:13" ht="27" x14ac:dyDescent="0.3">
      <c r="A33" s="737"/>
      <c r="B33" s="546" t="s">
        <v>7544</v>
      </c>
      <c r="C33" s="564">
        <v>39</v>
      </c>
      <c r="D33" s="524">
        <v>0</v>
      </c>
      <c r="E33" s="432">
        <v>0</v>
      </c>
      <c r="F33" s="432">
        <v>0</v>
      </c>
      <c r="G33" s="432">
        <v>0</v>
      </c>
      <c r="H33" s="555">
        <f t="shared" si="25"/>
        <v>-39</v>
      </c>
      <c r="I33" s="554">
        <f>SUMIFS('Cashbook ING'!$B:$B, 'Cashbook ING'!$A:$A, "SP_")</f>
        <v>0</v>
      </c>
      <c r="J33" s="432">
        <f>SUMIFS('Cashbook Wix'!$B$2:$B$7012,'Cashbook Wix'!$A$2:$A$7012,"SP_")</f>
        <v>0</v>
      </c>
      <c r="K33" s="432">
        <v>0</v>
      </c>
      <c r="L33" s="553">
        <f t="shared" si="26"/>
        <v>0</v>
      </c>
      <c r="M33" s="601">
        <f t="shared" si="27"/>
        <v>39</v>
      </c>
    </row>
    <row r="34" spans="1:13" ht="27" x14ac:dyDescent="0.3">
      <c r="A34" s="737"/>
      <c r="B34" s="546" t="s">
        <v>7509</v>
      </c>
      <c r="C34" s="564">
        <v>0</v>
      </c>
      <c r="D34" s="524">
        <v>35</v>
      </c>
      <c r="E34" s="432">
        <v>5.5</v>
      </c>
      <c r="F34" s="432">
        <f>E34*D34</f>
        <v>192.5</v>
      </c>
      <c r="G34" s="432">
        <v>0</v>
      </c>
      <c r="H34" s="555">
        <f t="shared" si="25"/>
        <v>192.5</v>
      </c>
      <c r="I34" s="554">
        <f>SUMIFS('Cashbook ING'!$B:$B, 'Cashbook ING'!$A:$A, "SP_")</f>
        <v>0</v>
      </c>
      <c r="J34" s="432">
        <f>SUMIFS('Cashbook Wix'!$B$2:$B$7012,'Cashbook Wix'!$A$2:$A$7012,"SP_FootballTournament_Member")</f>
        <v>149.45999999999998</v>
      </c>
      <c r="K34" s="432">
        <v>0</v>
      </c>
      <c r="L34" s="553">
        <f t="shared" si="26"/>
        <v>149.45999999999998</v>
      </c>
      <c r="M34" s="601">
        <f t="shared" si="27"/>
        <v>-43.04000000000002</v>
      </c>
    </row>
    <row r="35" spans="1:13" ht="27" x14ac:dyDescent="0.3">
      <c r="A35" s="737"/>
      <c r="B35" s="546" t="s">
        <v>7510</v>
      </c>
      <c r="C35" s="561">
        <v>0</v>
      </c>
      <c r="D35" s="524">
        <v>5</v>
      </c>
      <c r="E35" s="432">
        <v>7.5</v>
      </c>
      <c r="F35" s="432">
        <f>E35*D35</f>
        <v>37.5</v>
      </c>
      <c r="G35" s="432">
        <v>0</v>
      </c>
      <c r="H35" s="555">
        <f t="shared" si="25"/>
        <v>37.5</v>
      </c>
      <c r="I35" s="554">
        <f>SUMIFS('Cashbook ING'!$B:$B, 'Cashbook ING'!$A:$A, "SP_")</f>
        <v>0</v>
      </c>
      <c r="J35" s="432">
        <f>SUMIFS('Cashbook Wix'!$B$2:$B$7012,'Cashbook Wix'!$A$2:$A$7012,"SP_FootballTournament_NonMember")</f>
        <v>79.040000000000006</v>
      </c>
      <c r="K35" s="432">
        <v>0</v>
      </c>
      <c r="L35" s="553">
        <f t="shared" si="26"/>
        <v>79.040000000000006</v>
      </c>
      <c r="M35" s="601">
        <f t="shared" si="27"/>
        <v>41.540000000000006</v>
      </c>
    </row>
    <row r="36" spans="1:13" ht="27" x14ac:dyDescent="0.3">
      <c r="A36" s="738"/>
      <c r="B36" s="547" t="s">
        <v>7511</v>
      </c>
      <c r="C36" s="548">
        <f>SUM(C30:C35)</f>
        <v>429</v>
      </c>
      <c r="D36" s="542">
        <f>SUM(D30:D35)</f>
        <v>40</v>
      </c>
      <c r="E36" s="539">
        <v>0</v>
      </c>
      <c r="F36" s="539">
        <f>SUM(F30:F35)</f>
        <v>230</v>
      </c>
      <c r="G36" s="539">
        <v>0</v>
      </c>
      <c r="H36" s="543">
        <f t="shared" ref="H36:L36" si="28">SUM(H30:H35)</f>
        <v>-199</v>
      </c>
      <c r="I36" s="538">
        <f t="shared" si="28"/>
        <v>-285.95999999999998</v>
      </c>
      <c r="J36" s="539">
        <f t="shared" si="28"/>
        <v>228.5</v>
      </c>
      <c r="K36" s="539">
        <f t="shared" si="28"/>
        <v>0</v>
      </c>
      <c r="L36" s="540">
        <f t="shared" si="28"/>
        <v>-57.459999999999994</v>
      </c>
      <c r="M36" s="541">
        <f>SUM(M30:M35)</f>
        <v>141.54000000000002</v>
      </c>
    </row>
    <row r="37" spans="1:13" ht="27" x14ac:dyDescent="0.3">
      <c r="A37" s="730" t="s">
        <v>7613</v>
      </c>
      <c r="B37" s="622" t="s">
        <v>7560</v>
      </c>
      <c r="C37" s="556">
        <v>0</v>
      </c>
      <c r="D37" s="557">
        <v>0</v>
      </c>
      <c r="E37" s="558">
        <v>0</v>
      </c>
      <c r="F37" s="558">
        <v>0</v>
      </c>
      <c r="G37" s="558">
        <v>0</v>
      </c>
      <c r="H37" s="559">
        <f>G37+F37-C37</f>
        <v>0</v>
      </c>
      <c r="I37" s="586">
        <f>SUMIFS('Cashbook ING'!$B:$B, 'Cashbook ING'!$A:$A, "SP_")</f>
        <v>0</v>
      </c>
      <c r="J37" s="558">
        <f>SUMIFS('Cashbook Wix'!$B$2:$B$7012,'Cashbook Wix'!$A$2:$A$7012,"SP_")</f>
        <v>0</v>
      </c>
      <c r="K37" s="558">
        <v>0</v>
      </c>
      <c r="L37" s="587">
        <f>K37+J37+I37</f>
        <v>0</v>
      </c>
      <c r="M37" s="600">
        <f>L37-H37</f>
        <v>0</v>
      </c>
    </row>
    <row r="38" spans="1:13" ht="26" x14ac:dyDescent="0.3">
      <c r="A38" s="731"/>
      <c r="B38" s="551" t="s">
        <v>7509</v>
      </c>
      <c r="C38" s="554">
        <v>0</v>
      </c>
      <c r="D38" s="524">
        <v>0</v>
      </c>
      <c r="E38" s="432">
        <v>2</v>
      </c>
      <c r="F38" s="432">
        <f>D38*E38</f>
        <v>0</v>
      </c>
      <c r="G38" s="432">
        <v>0</v>
      </c>
      <c r="H38" s="555">
        <f t="shared" ref="H38:H39" si="29">G38+F38-C38</f>
        <v>0</v>
      </c>
      <c r="I38" s="554">
        <f>SUMIFS('Cashbook ING'!$B:$B, 'Cashbook ING'!$A:$A, "SP_")</f>
        <v>0</v>
      </c>
      <c r="J38" s="432">
        <f>SUMIFS('Cashbook Wix'!$B$2:$B$7012,'Cashbook Wix'!$A$2:$A$7012,"SP_")</f>
        <v>0</v>
      </c>
      <c r="K38" s="432">
        <v>0</v>
      </c>
      <c r="L38" s="553">
        <f t="shared" ref="L38:L39" si="30">K38+J38+I38</f>
        <v>0</v>
      </c>
      <c r="M38" s="601">
        <f t="shared" ref="M38:M39" si="31">L38-H38</f>
        <v>0</v>
      </c>
    </row>
    <row r="39" spans="1:13" ht="26" x14ac:dyDescent="0.3">
      <c r="A39" s="731"/>
      <c r="B39" s="551" t="s">
        <v>7510</v>
      </c>
      <c r="C39" s="554">
        <v>0</v>
      </c>
      <c r="D39" s="524">
        <v>0</v>
      </c>
      <c r="E39" s="432">
        <v>4</v>
      </c>
      <c r="F39" s="432">
        <f>D39*E39</f>
        <v>0</v>
      </c>
      <c r="G39" s="432">
        <v>0</v>
      </c>
      <c r="H39" s="555">
        <f t="shared" si="29"/>
        <v>0</v>
      </c>
      <c r="I39" s="554">
        <f>SUMIFS('Cashbook ING'!$B:$B, 'Cashbook ING'!$A:$A, "SP_")</f>
        <v>0</v>
      </c>
      <c r="J39" s="432">
        <f>SUMIFS('Cashbook Wix'!$B$2:$B$7012,'Cashbook Wix'!$A$2:$A$7012,"SP_")</f>
        <v>0</v>
      </c>
      <c r="K39" s="432">
        <v>0</v>
      </c>
      <c r="L39" s="553">
        <f t="shared" si="30"/>
        <v>0</v>
      </c>
      <c r="M39" s="601">
        <f t="shared" si="31"/>
        <v>0</v>
      </c>
    </row>
    <row r="40" spans="1:13" ht="26" x14ac:dyDescent="0.3">
      <c r="A40" s="731"/>
      <c r="B40" s="544" t="s">
        <v>7511</v>
      </c>
      <c r="C40" s="538">
        <f>SUM(C37:C39)</f>
        <v>0</v>
      </c>
      <c r="D40" s="542">
        <f>SUM(D37:D39)</f>
        <v>0</v>
      </c>
      <c r="E40" s="539">
        <v>0</v>
      </c>
      <c r="F40" s="539">
        <f t="shared" ref="F40:L40" si="32">SUM(F37:F39)</f>
        <v>0</v>
      </c>
      <c r="G40" s="539">
        <f t="shared" si="32"/>
        <v>0</v>
      </c>
      <c r="H40" s="543">
        <f t="shared" si="32"/>
        <v>0</v>
      </c>
      <c r="I40" s="538">
        <f t="shared" si="32"/>
        <v>0</v>
      </c>
      <c r="J40" s="539">
        <f t="shared" si="32"/>
        <v>0</v>
      </c>
      <c r="K40" s="539">
        <f t="shared" si="32"/>
        <v>0</v>
      </c>
      <c r="L40" s="540">
        <f t="shared" si="32"/>
        <v>0</v>
      </c>
      <c r="M40" s="541">
        <f>SUM(M37:M39)</f>
        <v>0</v>
      </c>
    </row>
    <row r="41" spans="1:13" ht="26" customHeight="1" x14ac:dyDescent="0.3">
      <c r="A41" s="732" t="s">
        <v>7614</v>
      </c>
      <c r="B41" s="552" t="s">
        <v>7560</v>
      </c>
      <c r="C41" s="556">
        <v>135</v>
      </c>
      <c r="D41" s="557">
        <v>0</v>
      </c>
      <c r="E41" s="558">
        <v>0</v>
      </c>
      <c r="F41" s="560">
        <v>0</v>
      </c>
      <c r="G41" s="560">
        <v>135</v>
      </c>
      <c r="H41" s="559">
        <f>G41+F41-C41</f>
        <v>0</v>
      </c>
      <c r="I41" s="556">
        <f>SUMIFS('Cashbook ING'!$B:$B, 'Cashbook ING'!$A:$A, "SP_Volleyball_Rent")</f>
        <v>-102</v>
      </c>
      <c r="J41" s="560">
        <f>SUMIFS('Cashbook Wix'!$B$2:$B$7012,'Cashbook Wix'!$A$2:$A$7012,"SP_")</f>
        <v>0</v>
      </c>
      <c r="K41" s="560">
        <v>0</v>
      </c>
      <c r="L41" s="559">
        <f>K41+J41+I41</f>
        <v>-102</v>
      </c>
      <c r="M41" s="602">
        <f>L41-H41</f>
        <v>-102</v>
      </c>
    </row>
    <row r="42" spans="1:13" ht="26" x14ac:dyDescent="0.3">
      <c r="A42" s="733"/>
      <c r="B42" s="553" t="s">
        <v>7611</v>
      </c>
      <c r="C42" s="561">
        <v>50</v>
      </c>
      <c r="D42" s="524">
        <v>0</v>
      </c>
      <c r="E42" s="432">
        <v>0</v>
      </c>
      <c r="F42" s="562">
        <v>0</v>
      </c>
      <c r="G42" s="562">
        <v>0</v>
      </c>
      <c r="H42" s="555">
        <f t="shared" ref="H42:H46" si="33">G42+F42-C42</f>
        <v>-50</v>
      </c>
      <c r="I42" s="561">
        <f>SUMIFS('Cashbook ING'!$B:$B, 'Cashbook ING'!$A:$A, "SP_Volleyball_Snacks&amp;Supplies")</f>
        <v>-79.28</v>
      </c>
      <c r="J42" s="562">
        <f>SUMIFS('Cashbook Wix'!$B$2:$B$7012,'Cashbook Wix'!$A$2:$A$7012,"SP_")</f>
        <v>0</v>
      </c>
      <c r="K42" s="562">
        <v>0</v>
      </c>
      <c r="L42" s="555">
        <f t="shared" ref="L42:L46" si="34">K42+J42+I42</f>
        <v>-79.28</v>
      </c>
      <c r="M42" s="603">
        <f t="shared" ref="M42:M46" si="35">L42-H42</f>
        <v>-29.28</v>
      </c>
    </row>
    <row r="43" spans="1:13" ht="26" x14ac:dyDescent="0.3">
      <c r="A43" s="733"/>
      <c r="B43" s="553" t="s">
        <v>7612</v>
      </c>
      <c r="C43" s="561">
        <v>15</v>
      </c>
      <c r="D43" s="524">
        <v>0</v>
      </c>
      <c r="E43" s="432">
        <v>0</v>
      </c>
      <c r="F43" s="562">
        <v>0</v>
      </c>
      <c r="G43" s="562">
        <v>0</v>
      </c>
      <c r="H43" s="555">
        <f t="shared" si="33"/>
        <v>-15</v>
      </c>
      <c r="I43" s="561">
        <f>SUMIFS('Cashbook ING'!$B:$B, 'Cashbook ING'!$A:$A, "SP_Volleyball_Prize")</f>
        <v>-6.68</v>
      </c>
      <c r="J43" s="562">
        <f>SUMIFS('Cashbook Wix'!$B$2:$B$7012,'Cashbook Wix'!$A$2:$A$7012,"SP_")</f>
        <v>0</v>
      </c>
      <c r="K43" s="562">
        <v>0</v>
      </c>
      <c r="L43" s="555">
        <f t="shared" si="34"/>
        <v>-6.68</v>
      </c>
      <c r="M43" s="603">
        <f t="shared" si="35"/>
        <v>8.32</v>
      </c>
    </row>
    <row r="44" spans="1:13" ht="26" x14ac:dyDescent="0.3">
      <c r="A44" s="733"/>
      <c r="B44" s="553" t="s">
        <v>7544</v>
      </c>
      <c r="C44" s="561">
        <v>20</v>
      </c>
      <c r="D44" s="524">
        <v>0</v>
      </c>
      <c r="E44" s="432">
        <v>0</v>
      </c>
      <c r="F44" s="562">
        <v>0</v>
      </c>
      <c r="G44" s="562">
        <v>0</v>
      </c>
      <c r="H44" s="555">
        <f t="shared" si="33"/>
        <v>-20</v>
      </c>
      <c r="I44" s="561">
        <f>SUMIFS('Cashbook ING'!$B:$B, 'Cashbook ING'!$A:$A, "SP_")</f>
        <v>0</v>
      </c>
      <c r="J44" s="562">
        <f>SUMIFS('Cashbook Wix'!$B$2:$B$7012,'Cashbook Wix'!$A$2:$A$7012,"SP_")</f>
        <v>0</v>
      </c>
      <c r="K44" s="562">
        <v>0</v>
      </c>
      <c r="L44" s="555">
        <f t="shared" si="34"/>
        <v>0</v>
      </c>
      <c r="M44" s="603">
        <f t="shared" si="35"/>
        <v>20</v>
      </c>
    </row>
    <row r="45" spans="1:13" ht="26" x14ac:dyDescent="0.3">
      <c r="A45" s="733"/>
      <c r="B45" s="553" t="s">
        <v>7509</v>
      </c>
      <c r="C45" s="561">
        <v>0</v>
      </c>
      <c r="D45" s="524">
        <v>25</v>
      </c>
      <c r="E45" s="432">
        <v>6</v>
      </c>
      <c r="F45" s="562">
        <f>D45*E45</f>
        <v>150</v>
      </c>
      <c r="G45" s="562">
        <v>0</v>
      </c>
      <c r="H45" s="555">
        <f t="shared" si="33"/>
        <v>150</v>
      </c>
      <c r="I45" s="561">
        <f>SUMIFS('Cashbook ING'!$B:$B, 'Cashbook ING'!$A:$A, "SP_")</f>
        <v>0</v>
      </c>
      <c r="J45" s="562">
        <f>SUMIFS('Cashbook Wix'!$B$2:$B$6979, 'Cashbook Wix'!$A$2:$A$6979, "SP_Volleyball_Member")
+SUMIFS('Cashbook ING'!$B$2:$B$6988, 'Cashbook ING'!$A$2:$A$6988, "SP_Volleyball_OtherAssociations")</f>
        <v>144.26</v>
      </c>
      <c r="K45" s="562">
        <v>0</v>
      </c>
      <c r="L45" s="555">
        <f t="shared" si="34"/>
        <v>144.26</v>
      </c>
      <c r="M45" s="603">
        <f t="shared" si="35"/>
        <v>-5.7400000000000091</v>
      </c>
    </row>
    <row r="46" spans="1:13" ht="26" x14ac:dyDescent="0.3">
      <c r="A46" s="733"/>
      <c r="B46" s="553" t="s">
        <v>7510</v>
      </c>
      <c r="C46" s="561">
        <v>0</v>
      </c>
      <c r="D46" s="524">
        <v>5</v>
      </c>
      <c r="E46" s="432">
        <v>8</v>
      </c>
      <c r="F46" s="562">
        <f>D46*E46</f>
        <v>40</v>
      </c>
      <c r="G46" s="562">
        <v>0</v>
      </c>
      <c r="H46" s="555">
        <f t="shared" si="33"/>
        <v>40</v>
      </c>
      <c r="I46" s="561">
        <f>SUMIFS('Cashbook ING'!$B:$B, 'Cashbook ING'!$A:$A, "SP_")</f>
        <v>0</v>
      </c>
      <c r="J46" s="562">
        <f>SUMIFS('Cashbook Wix'!$B$2:$B$7012,'Cashbook Wix'!$A$2:$A$7012,"SP_Volleyball_NonMember")</f>
        <v>40.190000000000005</v>
      </c>
      <c r="K46" s="562">
        <v>0</v>
      </c>
      <c r="L46" s="555">
        <f t="shared" si="34"/>
        <v>40.190000000000005</v>
      </c>
      <c r="M46" s="603">
        <f t="shared" si="35"/>
        <v>0.19000000000000483</v>
      </c>
    </row>
    <row r="47" spans="1:13" ht="26" x14ac:dyDescent="0.3">
      <c r="A47" s="734"/>
      <c r="B47" s="540" t="s">
        <v>7511</v>
      </c>
      <c r="C47" s="548">
        <f>SUM(C41:C46)</f>
        <v>220</v>
      </c>
      <c r="D47" s="542">
        <f>SUM(D41:D46)</f>
        <v>30</v>
      </c>
      <c r="E47" s="539">
        <v>0</v>
      </c>
      <c r="F47" s="549">
        <f t="shared" ref="F47:L47" si="36">SUM(F41:F46)</f>
        <v>190</v>
      </c>
      <c r="G47" s="549">
        <f t="shared" si="36"/>
        <v>135</v>
      </c>
      <c r="H47" s="543">
        <f t="shared" si="36"/>
        <v>105</v>
      </c>
      <c r="I47" s="548">
        <f t="shared" si="36"/>
        <v>-187.96</v>
      </c>
      <c r="J47" s="549">
        <f t="shared" si="36"/>
        <v>184.45</v>
      </c>
      <c r="K47" s="549">
        <f t="shared" si="36"/>
        <v>0</v>
      </c>
      <c r="L47" s="543">
        <f t="shared" si="36"/>
        <v>-3.5100000000000122</v>
      </c>
      <c r="M47" s="550">
        <f>SUM(M41:M46)</f>
        <v>-108.51000000000002</v>
      </c>
    </row>
    <row r="48" spans="1:13" ht="26" x14ac:dyDescent="0.3">
      <c r="A48" s="732" t="s">
        <v>7420</v>
      </c>
      <c r="B48" s="553" t="s">
        <v>7388</v>
      </c>
      <c r="C48" s="561">
        <v>100</v>
      </c>
      <c r="D48" s="524">
        <v>0</v>
      </c>
      <c r="E48" s="432">
        <v>0</v>
      </c>
      <c r="F48" s="562">
        <v>0</v>
      </c>
      <c r="G48" s="562">
        <v>50</v>
      </c>
      <c r="H48" s="555">
        <f>G48+F48-C48</f>
        <v>-50</v>
      </c>
      <c r="I48" s="561">
        <f>SUMIFS('Cashbook ING'!$B:$B, 'Cashbook ING'!$A:$A, "SP_")</f>
        <v>0</v>
      </c>
      <c r="J48" s="562">
        <f>SUMIFS('Cashbook Wix'!$B$2:$B$7012,'Cashbook Wix'!$A$2:$A$7012,"SP_")</f>
        <v>0</v>
      </c>
      <c r="K48" s="562">
        <v>0</v>
      </c>
      <c r="L48" s="555">
        <f>K48+J48+I48</f>
        <v>0</v>
      </c>
      <c r="M48" s="603">
        <f>L48-H48</f>
        <v>50</v>
      </c>
    </row>
    <row r="49" spans="1:19" ht="26" x14ac:dyDescent="0.3">
      <c r="A49" s="733"/>
      <c r="B49" s="553" t="s">
        <v>7615</v>
      </c>
      <c r="C49" s="561">
        <v>350</v>
      </c>
      <c r="D49" s="524">
        <v>0</v>
      </c>
      <c r="E49" s="432">
        <v>0</v>
      </c>
      <c r="F49" s="562">
        <v>0</v>
      </c>
      <c r="G49" s="562">
        <v>200</v>
      </c>
      <c r="H49" s="555">
        <f t="shared" ref="H49:H54" si="37">G49+F49-C49</f>
        <v>-150</v>
      </c>
      <c r="I49" s="561">
        <f>SUMIFS('Cashbook ING'!$B:$B, 'Cashbook ING'!$A:$A, "BD_Boozy_Food&amp;Drinks")</f>
        <v>-241.20999999999998</v>
      </c>
      <c r="J49" s="562">
        <f>SUMIFS('Cashbook Wix'!$B$2:$B$7012,'Cashbook Wix'!$A$2:$A$7012,"SP_")</f>
        <v>0</v>
      </c>
      <c r="K49" s="562">
        <v>0</v>
      </c>
      <c r="L49" s="555">
        <f t="shared" ref="L49:L54" si="38">K49+J49+I49</f>
        <v>-241.20999999999998</v>
      </c>
      <c r="M49" s="603">
        <f t="shared" ref="M49:M54" si="39">L49-H49</f>
        <v>-91.20999999999998</v>
      </c>
    </row>
    <row r="50" spans="1:19" ht="26" x14ac:dyDescent="0.3">
      <c r="A50" s="733"/>
      <c r="B50" s="553" t="s">
        <v>7544</v>
      </c>
      <c r="C50" s="561">
        <v>45</v>
      </c>
      <c r="D50" s="524">
        <v>0</v>
      </c>
      <c r="E50" s="432">
        <v>0</v>
      </c>
      <c r="F50" s="562">
        <v>0</v>
      </c>
      <c r="G50" s="562">
        <v>0</v>
      </c>
      <c r="H50" s="555">
        <f t="shared" si="37"/>
        <v>-45</v>
      </c>
      <c r="I50" s="561">
        <f>SUMIFS('Cashbook ING'!$B:$B, 'Cashbook ING'!$A:$A, "SP_")</f>
        <v>0</v>
      </c>
      <c r="J50" s="562">
        <f>SUMIFS('Cashbook Wix'!$B$2:$B$7012,'Cashbook Wix'!$A$2:$A$7012,"SP_")</f>
        <v>0</v>
      </c>
      <c r="K50" s="562">
        <v>0</v>
      </c>
      <c r="L50" s="555">
        <f t="shared" si="38"/>
        <v>0</v>
      </c>
      <c r="M50" s="603">
        <f t="shared" si="39"/>
        <v>45</v>
      </c>
    </row>
    <row r="51" spans="1:19" ht="26" x14ac:dyDescent="0.3">
      <c r="A51" s="733"/>
      <c r="B51" s="553" t="s">
        <v>7579</v>
      </c>
      <c r="C51" s="561">
        <v>0</v>
      </c>
      <c r="D51" s="524">
        <v>36</v>
      </c>
      <c r="E51" s="432">
        <v>4.5</v>
      </c>
      <c r="F51" s="562">
        <f>D51*E51</f>
        <v>162</v>
      </c>
      <c r="G51" s="562">
        <v>0</v>
      </c>
      <c r="H51" s="555">
        <f t="shared" si="37"/>
        <v>162</v>
      </c>
      <c r="I51" s="561">
        <f>SUMIFS('Cashbook ING'!$B:$B, 'Cashbook ING'!$A:$A, "SP_")</f>
        <v>0</v>
      </c>
      <c r="J51" s="562">
        <f>SUMIFS('Cashbook Wix'!$B$2:$B$7012,'Cashbook Wix'!$A$2:$A$7012,"SP_")</f>
        <v>0</v>
      </c>
      <c r="K51" s="562">
        <v>0</v>
      </c>
      <c r="L51" s="555">
        <f t="shared" si="38"/>
        <v>0</v>
      </c>
      <c r="M51" s="603">
        <f t="shared" si="39"/>
        <v>-162</v>
      </c>
    </row>
    <row r="52" spans="1:19" ht="26" x14ac:dyDescent="0.3">
      <c r="A52" s="733"/>
      <c r="B52" s="553" t="s">
        <v>7580</v>
      </c>
      <c r="C52" s="561">
        <v>0</v>
      </c>
      <c r="D52" s="524">
        <v>4</v>
      </c>
      <c r="E52" s="432">
        <v>6.5</v>
      </c>
      <c r="F52" s="562">
        <f t="shared" ref="F52:F54" si="40">D52*E52</f>
        <v>26</v>
      </c>
      <c r="G52" s="562">
        <v>0</v>
      </c>
      <c r="H52" s="555">
        <f t="shared" si="37"/>
        <v>26</v>
      </c>
      <c r="I52" s="561">
        <f>SUMIFS('Cashbook ING'!$B:$B, 'Cashbook ING'!$A:$A, "SP_")</f>
        <v>0</v>
      </c>
      <c r="J52" s="562">
        <f>SUMIFS('Cashbook Wix'!$B$2:$B$7012,'Cashbook Wix'!$A$2:$A$7012,"SP_")</f>
        <v>0</v>
      </c>
      <c r="K52" s="562">
        <v>0</v>
      </c>
      <c r="L52" s="555">
        <f t="shared" si="38"/>
        <v>0</v>
      </c>
      <c r="M52" s="603">
        <f t="shared" si="39"/>
        <v>-26</v>
      </c>
    </row>
    <row r="53" spans="1:19" ht="26" x14ac:dyDescent="0.3">
      <c r="A53" s="733"/>
      <c r="B53" s="553" t="s">
        <v>7581</v>
      </c>
      <c r="C53" s="561">
        <v>0</v>
      </c>
      <c r="D53" s="524">
        <v>45</v>
      </c>
      <c r="E53" s="432">
        <v>2.5</v>
      </c>
      <c r="F53" s="562">
        <f t="shared" si="40"/>
        <v>112.5</v>
      </c>
      <c r="G53" s="562">
        <v>0</v>
      </c>
      <c r="H53" s="555">
        <f t="shared" si="37"/>
        <v>112.5</v>
      </c>
      <c r="I53" s="561">
        <f>SUMIFS('Cashbook ING'!$B:$B, 'Cashbook ING'!$A:$A, "SP_")</f>
        <v>0</v>
      </c>
      <c r="J53" s="562">
        <f>SUMIFS('Cashbook Wix'!$B$2:$B$7012,'Cashbook Wix'!$A$2:$A$7012,"SP_")</f>
        <v>0</v>
      </c>
      <c r="K53" s="562">
        <v>0</v>
      </c>
      <c r="L53" s="555">
        <f t="shared" si="38"/>
        <v>0</v>
      </c>
      <c r="M53" s="603">
        <f t="shared" si="39"/>
        <v>-112.5</v>
      </c>
    </row>
    <row r="54" spans="1:19" ht="26" x14ac:dyDescent="0.3">
      <c r="A54" s="733"/>
      <c r="B54" s="553" t="s">
        <v>7582</v>
      </c>
      <c r="C54" s="561">
        <v>0</v>
      </c>
      <c r="D54" s="524">
        <v>5</v>
      </c>
      <c r="E54" s="432">
        <v>4</v>
      </c>
      <c r="F54" s="562">
        <f t="shared" si="40"/>
        <v>20</v>
      </c>
      <c r="G54" s="562">
        <v>0</v>
      </c>
      <c r="H54" s="555">
        <f t="shared" si="37"/>
        <v>20</v>
      </c>
      <c r="I54" s="561">
        <f>SUMIFS('Cashbook ING'!$B:$B, 'Cashbook ING'!$A:$A, "SP_")</f>
        <v>0</v>
      </c>
      <c r="J54" s="562">
        <f>SUMIFS('Cashbook Wix'!$B$2:$B$7012,'Cashbook Wix'!$A$2:$A$7012,"SP_")</f>
        <v>0</v>
      </c>
      <c r="K54" s="562">
        <v>0</v>
      </c>
      <c r="L54" s="555">
        <f t="shared" si="38"/>
        <v>0</v>
      </c>
      <c r="M54" s="603">
        <f t="shared" si="39"/>
        <v>-20</v>
      </c>
    </row>
    <row r="55" spans="1:19" ht="26" x14ac:dyDescent="0.3">
      <c r="A55" s="735"/>
      <c r="B55" s="540" t="s">
        <v>7511</v>
      </c>
      <c r="C55" s="548">
        <f>SUM(C48:C54)</f>
        <v>495</v>
      </c>
      <c r="D55" s="542">
        <f>SUM(D48:D54)</f>
        <v>90</v>
      </c>
      <c r="E55" s="539">
        <v>0</v>
      </c>
      <c r="F55" s="549">
        <f t="shared" ref="F55:K55" si="41">SUM(F48:F54)</f>
        <v>320.5</v>
      </c>
      <c r="G55" s="549">
        <f t="shared" si="41"/>
        <v>250</v>
      </c>
      <c r="H55" s="543">
        <f t="shared" si="41"/>
        <v>75.5</v>
      </c>
      <c r="I55" s="548">
        <f t="shared" si="41"/>
        <v>-241.20999999999998</v>
      </c>
      <c r="J55" s="549">
        <f t="shared" si="41"/>
        <v>0</v>
      </c>
      <c r="K55" s="549">
        <f t="shared" si="41"/>
        <v>0</v>
      </c>
      <c r="L55" s="543">
        <f>SUM(L48:L54)</f>
        <v>-241.20999999999998</v>
      </c>
      <c r="M55" s="550">
        <f>SUM(M48:M54)</f>
        <v>-316.70999999999998</v>
      </c>
    </row>
    <row r="56" spans="1:19" s="183" customFormat="1" ht="32" thickBot="1" x14ac:dyDescent="0.4">
      <c r="A56" s="512"/>
      <c r="B56" s="513" t="s">
        <v>7443</v>
      </c>
      <c r="C56" s="514">
        <f>SUM(C6+C10+C15+C20+C29+C40+C36+C47)</f>
        <v>1418</v>
      </c>
      <c r="D56" s="514">
        <f>SUM(D6+D10+D15+D20+D29+D41)</f>
        <v>157</v>
      </c>
      <c r="E56" s="514">
        <f>SUM(E6+E10+E15+E20+E29+E41)</f>
        <v>0</v>
      </c>
      <c r="F56" s="514">
        <f>SUM(F6+F10+F15+F20+F29+F40+F36+F47)</f>
        <v>820</v>
      </c>
      <c r="G56" s="514">
        <f>SUM(G6+G10+G15+G20+G29+G36+G40+G47)</f>
        <v>435</v>
      </c>
      <c r="H56" s="515">
        <f>SUM(H6+H10+H15+H20+H29+H36+H40+H47+H55)</f>
        <v>-87.5</v>
      </c>
      <c r="I56" s="514">
        <f>I6+I10+I15+I20+I29+I36+I47</f>
        <v>-1227.5100000000002</v>
      </c>
      <c r="J56" s="514">
        <f>J6+J10+J15+J20+J29+J36+J47+J55</f>
        <v>753.02</v>
      </c>
      <c r="K56" s="514">
        <f>K6+K10+K15+K20+K29+K36+K47+K55</f>
        <v>0</v>
      </c>
      <c r="L56" s="515">
        <f>L6+L10+L15+L20+L29+L36+L47+L55</f>
        <v>-715.69999999999993</v>
      </c>
      <c r="M56" s="515">
        <f>M6+M10+M15+M20+M29+M36+M40+M47+M55</f>
        <v>-628.20000000000005</v>
      </c>
      <c r="N56" s="180"/>
      <c r="O56" s="179"/>
      <c r="P56" s="178"/>
      <c r="Q56" s="178"/>
      <c r="R56" s="181"/>
      <c r="S56" s="182"/>
    </row>
    <row r="60" spans="1:19" ht="26" x14ac:dyDescent="0.3">
      <c r="B60" s="124"/>
    </row>
    <row r="83" spans="11:11" x14ac:dyDescent="0.2">
      <c r="K83">
        <v>3</v>
      </c>
    </row>
  </sheetData>
  <mergeCells count="14">
    <mergeCell ref="A37:A40"/>
    <mergeCell ref="A41:A47"/>
    <mergeCell ref="A48:A55"/>
    <mergeCell ref="I1:M1"/>
    <mergeCell ref="C1:H1"/>
    <mergeCell ref="A3:A6"/>
    <mergeCell ref="A7:A10"/>
    <mergeCell ref="A11:A15"/>
    <mergeCell ref="B1:B2"/>
    <mergeCell ref="A16:A20"/>
    <mergeCell ref="A1:A2"/>
    <mergeCell ref="A30:A36"/>
    <mergeCell ref="A21:A25"/>
    <mergeCell ref="A26:A29"/>
  </mergeCells>
  <conditionalFormatting sqref="A2:A5">
    <cfRule type="cellIs" dxfId="26" priority="26" operator="lessThan">
      <formula>0</formula>
    </cfRule>
  </conditionalFormatting>
  <conditionalFormatting sqref="A1:C1 I1:M1 L2:M2">
    <cfRule type="cellIs" dxfId="25" priority="30" operator="lessThan">
      <formula>0</formula>
    </cfRule>
  </conditionalFormatting>
  <conditionalFormatting sqref="B18:B19">
    <cfRule type="cellIs" dxfId="24" priority="183" operator="lessThan">
      <formula>0</formula>
    </cfRule>
  </conditionalFormatting>
  <conditionalFormatting sqref="B27:B55 A57:M59 N57:XFD1048576 A60 A61:M1048576">
    <cfRule type="cellIs" dxfId="23" priority="236" operator="lessThan">
      <formula>0</formula>
    </cfRule>
  </conditionalFormatting>
  <conditionalFormatting sqref="B3:G5">
    <cfRule type="cellIs" dxfId="22" priority="22" operator="lessThan">
      <formula>0</formula>
    </cfRule>
  </conditionalFormatting>
  <conditionalFormatting sqref="F8:F9">
    <cfRule type="cellIs" dxfId="21" priority="19" operator="lessThan">
      <formula>0</formula>
    </cfRule>
  </conditionalFormatting>
  <conditionalFormatting sqref="F13:F14">
    <cfRule type="cellIs" dxfId="20" priority="17" operator="lessThan">
      <formula>0</formula>
    </cfRule>
  </conditionalFormatting>
  <conditionalFormatting sqref="F18:F19">
    <cfRule type="cellIs" dxfId="19" priority="181" operator="lessThan">
      <formula>0</formula>
    </cfRule>
  </conditionalFormatting>
  <conditionalFormatting sqref="H2:H5">
    <cfRule type="cellIs" dxfId="18" priority="25" operator="lessThan">
      <formula>0</formula>
    </cfRule>
  </conditionalFormatting>
  <conditionalFormatting sqref="I3:M5 B6:M15">
    <cfRule type="cellIs" dxfId="17" priority="24" operator="lessThan">
      <formula>0</formula>
    </cfRule>
  </conditionalFormatting>
  <conditionalFormatting sqref="N1:XFD55 A11 A16:M20 B21:M25 A26:M26 B27:M28 C29:M60 A56:XFD56">
    <cfRule type="cellIs" dxfId="16" priority="184" operator="lessThan">
      <formula>0</formula>
    </cfRule>
  </conditionalFormatting>
  <pageMargins left="0.7" right="0.7" top="0.75" bottom="0.75" header="0.3" footer="0.3"/>
  <pageSetup paperSize="9" orientation="portrait" horizontalDpi="0" verticalDpi="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M22"/>
  <sheetViews>
    <sheetView zoomScale="77" workbookViewId="0">
      <selection activeCell="M13" sqref="M13"/>
    </sheetView>
  </sheetViews>
  <sheetFormatPr baseColWidth="10" defaultColWidth="11.5" defaultRowHeight="15" x14ac:dyDescent="0.2"/>
  <cols>
    <col min="1" max="1" width="19.1640625" bestFit="1" customWidth="1"/>
    <col min="2" max="2" width="31.5" customWidth="1"/>
    <col min="3" max="13" width="22.6640625" customWidth="1"/>
  </cols>
  <sheetData>
    <row r="1" spans="1:13" ht="26" customHeight="1" x14ac:dyDescent="0.25">
      <c r="A1" s="677" t="s">
        <v>7456</v>
      </c>
      <c r="B1" s="676" t="s">
        <v>7457</v>
      </c>
      <c r="C1" s="674" t="s">
        <v>7348</v>
      </c>
      <c r="D1" s="674" t="s">
        <v>7353</v>
      </c>
      <c r="E1" s="674"/>
      <c r="F1" s="674"/>
      <c r="G1" s="674"/>
      <c r="H1" s="674" t="s">
        <v>7348</v>
      </c>
      <c r="I1" s="675" t="s">
        <v>7616</v>
      </c>
      <c r="J1" s="675" t="s">
        <v>7353</v>
      </c>
      <c r="K1" s="675"/>
      <c r="L1" s="675" t="s">
        <v>7349</v>
      </c>
      <c r="M1" s="675" t="s">
        <v>7459</v>
      </c>
    </row>
    <row r="2" spans="1:13" ht="26" customHeight="1" x14ac:dyDescent="0.25">
      <c r="A2" s="677"/>
      <c r="B2" s="701"/>
      <c r="C2" s="314" t="s">
        <v>7617</v>
      </c>
      <c r="D2" s="315" t="s">
        <v>7618</v>
      </c>
      <c r="E2" s="316" t="s">
        <v>7619</v>
      </c>
      <c r="F2" s="317" t="s">
        <v>7353</v>
      </c>
      <c r="G2" s="318" t="s">
        <v>7354</v>
      </c>
      <c r="H2" s="308" t="s">
        <v>7355</v>
      </c>
      <c r="I2" s="309" t="s">
        <v>7616</v>
      </c>
      <c r="J2" s="310" t="s">
        <v>7353</v>
      </c>
      <c r="K2" s="313" t="s">
        <v>7354</v>
      </c>
      <c r="L2" s="311" t="s">
        <v>7355</v>
      </c>
      <c r="M2" s="312"/>
    </row>
    <row r="3" spans="1:13" ht="26" x14ac:dyDescent="0.3">
      <c r="A3" s="744" t="s">
        <v>7433</v>
      </c>
      <c r="B3" s="187" t="s">
        <v>7620</v>
      </c>
      <c r="C3" s="163">
        <v>9600</v>
      </c>
      <c r="D3" s="164">
        <v>0</v>
      </c>
      <c r="E3" s="163">
        <v>0</v>
      </c>
      <c r="F3" s="185">
        <v>0</v>
      </c>
      <c r="G3" s="421">
        <v>8000</v>
      </c>
      <c r="H3" s="165">
        <f>F3+G3-C3</f>
        <v>-1600</v>
      </c>
      <c r="I3" s="163">
        <f>SUMIFS('Cashbook ING'!$B:$B, 'Cashbook ING'!$A:$A, "FMW_Accommodation")*1</f>
        <v>-10100</v>
      </c>
      <c r="J3" s="163">
        <v>0</v>
      </c>
      <c r="K3" s="163">
        <v>0</v>
      </c>
      <c r="L3" s="165">
        <f>J3+K3+I3</f>
        <v>-10100</v>
      </c>
      <c r="M3" s="165">
        <f t="shared" ref="M3:M12" si="0">L3-H3</f>
        <v>-8500</v>
      </c>
    </row>
    <row r="4" spans="1:13" ht="26" x14ac:dyDescent="0.3">
      <c r="A4" s="744"/>
      <c r="B4" s="187" t="s">
        <v>7577</v>
      </c>
      <c r="C4" s="163">
        <v>3500</v>
      </c>
      <c r="D4" s="164">
        <v>0</v>
      </c>
      <c r="E4" s="163">
        <v>0</v>
      </c>
      <c r="F4" s="185">
        <v>0</v>
      </c>
      <c r="G4" s="421">
        <v>0</v>
      </c>
      <c r="H4" s="165">
        <f t="shared" ref="H4:H12" si="1">F4+G4-C4</f>
        <v>-3500</v>
      </c>
      <c r="I4" s="163">
        <f>SUMIFS('Cashbook ING'!$B:$B, 'Cashbook ING'!$A:$A, "FMW_Food")*1</f>
        <v>-4876.16</v>
      </c>
      <c r="J4" s="163">
        <v>0</v>
      </c>
      <c r="K4" s="163">
        <v>0</v>
      </c>
      <c r="L4" s="165">
        <f>J4+K4+I4</f>
        <v>-4876.16</v>
      </c>
      <c r="M4" s="165">
        <f t="shared" si="0"/>
        <v>-1376.1599999999999</v>
      </c>
    </row>
    <row r="5" spans="1:13" ht="26" x14ac:dyDescent="0.3">
      <c r="A5" s="744"/>
      <c r="B5" s="187" t="s">
        <v>7535</v>
      </c>
      <c r="C5" s="163">
        <v>4000</v>
      </c>
      <c r="D5" s="164">
        <v>0</v>
      </c>
      <c r="E5" s="163">
        <v>0</v>
      </c>
      <c r="F5" s="185">
        <v>0</v>
      </c>
      <c r="G5" s="421">
        <v>0</v>
      </c>
      <c r="H5" s="165">
        <f>F5+G5-C5</f>
        <v>-4000</v>
      </c>
      <c r="I5" s="163">
        <f>SUMIFS('Cashbook ING'!$B:$B, 'Cashbook ING'!$A:$A, "FMW_Drinks")*1</f>
        <v>-2587.2800000000002</v>
      </c>
      <c r="J5" s="163">
        <v>0</v>
      </c>
      <c r="K5" s="163">
        <v>0</v>
      </c>
      <c r="L5" s="165">
        <f t="shared" ref="L5:L12" si="2">J5+K5+I5</f>
        <v>-2587.2800000000002</v>
      </c>
      <c r="M5" s="165">
        <f t="shared" si="0"/>
        <v>1412.7199999999998</v>
      </c>
    </row>
    <row r="6" spans="1:13" ht="26" x14ac:dyDescent="0.3">
      <c r="A6" s="744"/>
      <c r="B6" s="187" t="s">
        <v>7621</v>
      </c>
      <c r="C6" s="163">
        <v>5100</v>
      </c>
      <c r="D6" s="164">
        <v>0</v>
      </c>
      <c r="E6" s="163">
        <v>0</v>
      </c>
      <c r="F6" s="185">
        <v>0</v>
      </c>
      <c r="G6" s="421">
        <v>5100</v>
      </c>
      <c r="H6" s="165">
        <f t="shared" si="1"/>
        <v>0</v>
      </c>
      <c r="I6" s="163">
        <f>SUMIFS('Cashbook ING'!$B:$B, 'Cashbook ING'!$A:$A, "FMW_Transportation")*1</f>
        <v>-5172.05</v>
      </c>
      <c r="J6" s="163">
        <v>0</v>
      </c>
      <c r="K6" s="163">
        <v>0</v>
      </c>
      <c r="L6" s="165">
        <f t="shared" si="2"/>
        <v>-5172.05</v>
      </c>
      <c r="M6" s="165">
        <f t="shared" si="0"/>
        <v>-5172.05</v>
      </c>
    </row>
    <row r="7" spans="1:13" ht="26" x14ac:dyDescent="0.3">
      <c r="A7" s="744"/>
      <c r="B7" s="187" t="s">
        <v>7622</v>
      </c>
      <c r="C7" s="163">
        <v>600</v>
      </c>
      <c r="D7" s="164">
        <v>0</v>
      </c>
      <c r="E7" s="163">
        <v>0</v>
      </c>
      <c r="F7" s="185">
        <v>0</v>
      </c>
      <c r="G7" s="421">
        <v>0</v>
      </c>
      <c r="H7" s="165">
        <f t="shared" si="1"/>
        <v>-600</v>
      </c>
      <c r="I7" s="163">
        <f>SUMIFS('Cashbook ING'!$B:$B, 'Cashbook ING'!$A:$A, "FMW_Supplies")*1</f>
        <v>-85.67</v>
      </c>
      <c r="J7" s="163">
        <v>0</v>
      </c>
      <c r="K7" s="163">
        <v>0</v>
      </c>
      <c r="L7" s="165">
        <f t="shared" si="2"/>
        <v>-85.67</v>
      </c>
      <c r="M7" s="165">
        <f>L7-H7</f>
        <v>514.33000000000004</v>
      </c>
    </row>
    <row r="8" spans="1:13" ht="26" x14ac:dyDescent="0.3">
      <c r="A8" s="744"/>
      <c r="B8" s="187" t="s">
        <v>7623</v>
      </c>
      <c r="C8" s="163">
        <v>200</v>
      </c>
      <c r="D8" s="164">
        <v>0</v>
      </c>
      <c r="E8" s="163">
        <v>0</v>
      </c>
      <c r="F8" s="185">
        <v>0</v>
      </c>
      <c r="G8" s="421">
        <v>200</v>
      </c>
      <c r="H8" s="165">
        <f>F8+G8-C8</f>
        <v>0</v>
      </c>
      <c r="I8" s="163">
        <f>SUMIFS('Cashbook ING'!$B:$B, 'Cashbook ING'!$A:$A, "FMW_Gas")*1</f>
        <v>-276.17</v>
      </c>
      <c r="J8" s="163">
        <v>0</v>
      </c>
      <c r="K8" s="163">
        <v>0</v>
      </c>
      <c r="L8" s="165">
        <f t="shared" si="2"/>
        <v>-276.17</v>
      </c>
      <c r="M8" s="165">
        <f>L8-H8</f>
        <v>-276.17</v>
      </c>
    </row>
    <row r="9" spans="1:13" ht="26" x14ac:dyDescent="0.3">
      <c r="A9" s="744"/>
      <c r="B9" s="187" t="s">
        <v>7624</v>
      </c>
      <c r="C9" s="163">
        <v>250</v>
      </c>
      <c r="D9" s="164">
        <v>0</v>
      </c>
      <c r="E9" s="163">
        <v>0</v>
      </c>
      <c r="F9" s="185">
        <v>0</v>
      </c>
      <c r="G9" s="421">
        <v>0</v>
      </c>
      <c r="H9" s="165">
        <f>F9+G9-C9</f>
        <v>-250</v>
      </c>
      <c r="I9" s="163">
        <f>SUMIFS('Cashbook ING'!$B:$B, 'Cashbook ING'!$A:$A, "FMW_Sweaters")*1</f>
        <v>-271.33999999999997</v>
      </c>
      <c r="J9" s="163">
        <v>0</v>
      </c>
      <c r="K9" s="163">
        <v>0</v>
      </c>
      <c r="L9" s="165">
        <f t="shared" si="2"/>
        <v>-271.33999999999997</v>
      </c>
      <c r="M9" s="165">
        <f>L9-H9</f>
        <v>-21.339999999999975</v>
      </c>
    </row>
    <row r="10" spans="1:13" ht="26" x14ac:dyDescent="0.3">
      <c r="A10" s="744"/>
      <c r="B10" s="187" t="s">
        <v>7544</v>
      </c>
      <c r="C10" s="163">
        <v>1500</v>
      </c>
      <c r="D10" s="164">
        <v>0</v>
      </c>
      <c r="E10" s="163">
        <v>0</v>
      </c>
      <c r="F10" s="185">
        <v>0</v>
      </c>
      <c r="G10" s="421">
        <v>0</v>
      </c>
      <c r="H10" s="165">
        <f t="shared" si="1"/>
        <v>-1500</v>
      </c>
      <c r="I10" s="163">
        <f>SUMIFS('Cashbook ING'!$B:$B, 'Cashbook ING'!$A:$A, "FMW_Unforeseen")*1</f>
        <v>-347.57</v>
      </c>
      <c r="J10" s="163">
        <v>0</v>
      </c>
      <c r="K10" s="163">
        <v>0</v>
      </c>
      <c r="L10" s="165">
        <f t="shared" si="2"/>
        <v>-347.57</v>
      </c>
      <c r="M10" s="165">
        <f t="shared" si="0"/>
        <v>1152.43</v>
      </c>
    </row>
    <row r="11" spans="1:13" ht="26" x14ac:dyDescent="0.3">
      <c r="A11" s="744"/>
      <c r="B11" s="187" t="s">
        <v>7625</v>
      </c>
      <c r="C11" s="163">
        <v>0</v>
      </c>
      <c r="D11" s="164">
        <v>180</v>
      </c>
      <c r="E11" s="163">
        <v>15</v>
      </c>
      <c r="F11" s="185">
        <f>E11*D11</f>
        <v>2700</v>
      </c>
      <c r="G11" s="422">
        <v>0</v>
      </c>
      <c r="H11" s="165">
        <f t="shared" si="1"/>
        <v>2700</v>
      </c>
      <c r="I11" s="163">
        <v>0</v>
      </c>
      <c r="J11" s="163">
        <f>SUMIFS('Cashbook Wix'!$B$2:$B$7012, 'Cashbook Wix'!$A$2:$A$7012, "FMW_Tokens")
+SUMIFS('Cashbook ING'!$B$2:$B$7021, 'Cashbook ING'!$A$2:$A$7021, "FMW_Tokens")</f>
        <v>3123.05</v>
      </c>
      <c r="K11" s="163">
        <v>0</v>
      </c>
      <c r="L11" s="165">
        <f t="shared" si="2"/>
        <v>3123.05</v>
      </c>
      <c r="M11" s="165">
        <f t="shared" si="0"/>
        <v>423.05000000000018</v>
      </c>
    </row>
    <row r="12" spans="1:13" ht="26" x14ac:dyDescent="0.3">
      <c r="A12" s="744"/>
      <c r="B12" s="187" t="s">
        <v>7626</v>
      </c>
      <c r="C12" s="163">
        <v>0</v>
      </c>
      <c r="D12" s="164">
        <v>180</v>
      </c>
      <c r="E12" s="163">
        <v>48</v>
      </c>
      <c r="F12" s="185">
        <f>E12*D12</f>
        <v>8640</v>
      </c>
      <c r="G12" s="422">
        <v>0</v>
      </c>
      <c r="H12" s="165">
        <f t="shared" si="1"/>
        <v>8640</v>
      </c>
      <c r="I12" s="163">
        <v>0</v>
      </c>
      <c r="J12" s="163">
        <f>SUMIFS('Cashbook Wix'!$B$2:$B$7012,'Cashbook Wix'!$A$2:$A$7012,"FMW_Tickets")</f>
        <v>9470.549999999972</v>
      </c>
      <c r="K12" s="163">
        <v>0</v>
      </c>
      <c r="L12" s="165">
        <f t="shared" si="2"/>
        <v>9470.549999999972</v>
      </c>
      <c r="M12" s="165">
        <f t="shared" si="0"/>
        <v>830.54999999997199</v>
      </c>
    </row>
    <row r="13" spans="1:13" ht="26" x14ac:dyDescent="0.3">
      <c r="A13" s="186"/>
      <c r="B13" s="423" t="s">
        <v>7501</v>
      </c>
      <c r="C13" s="424">
        <f>SUM(C3:C12)</f>
        <v>24750</v>
      </c>
      <c r="D13" s="425">
        <f>SUM(D12:D12)</f>
        <v>180</v>
      </c>
      <c r="E13" s="426">
        <v>0</v>
      </c>
      <c r="F13" s="424">
        <f>SUM(F3:F12)</f>
        <v>11340</v>
      </c>
      <c r="G13" s="424">
        <f>SUM(G3:G12)</f>
        <v>13300</v>
      </c>
      <c r="H13" s="427">
        <f>SUM(H3:H12)</f>
        <v>-110</v>
      </c>
      <c r="I13" s="426">
        <f t="shared" ref="I13:L13" si="3">SUM(I3:I12)</f>
        <v>-23716.239999999994</v>
      </c>
      <c r="J13" s="426">
        <f t="shared" si="3"/>
        <v>12593.599999999973</v>
      </c>
      <c r="K13" s="426">
        <f t="shared" si="3"/>
        <v>0</v>
      </c>
      <c r="L13" s="423">
        <f t="shared" si="3"/>
        <v>-11122.640000000023</v>
      </c>
      <c r="M13" s="423">
        <f>SUM(M3:M12)</f>
        <v>-11012.64000000003</v>
      </c>
    </row>
    <row r="16" spans="1:13" ht="26" x14ac:dyDescent="0.3">
      <c r="B16" s="124"/>
    </row>
    <row r="22" ht="21.75" customHeight="1" x14ac:dyDescent="0.2"/>
  </sheetData>
  <mergeCells count="5">
    <mergeCell ref="A3:A12"/>
    <mergeCell ref="A1:A2"/>
    <mergeCell ref="B1:B2"/>
    <mergeCell ref="C1:H1"/>
    <mergeCell ref="I1:M1"/>
  </mergeCells>
  <conditionalFormatting sqref="A1:C1 I1:M1 A2 H2 L2:M2">
    <cfRule type="cellIs" dxfId="15" priority="1" operator="lessThan">
      <formula>0</formula>
    </cfRule>
  </conditionalFormatting>
  <conditionalFormatting sqref="B3:B12">
    <cfRule type="cellIs" dxfId="14" priority="2" operator="lessThan">
      <formula>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8:AA32"/>
  <sheetViews>
    <sheetView topLeftCell="A7" zoomScale="84" workbookViewId="0">
      <selection activeCell="I15" sqref="I15"/>
    </sheetView>
  </sheetViews>
  <sheetFormatPr baseColWidth="10" defaultColWidth="8.83203125" defaultRowHeight="15" x14ac:dyDescent="0.2"/>
  <cols>
    <col min="1" max="1" width="15.83203125" customWidth="1"/>
    <col min="2" max="2" width="58.5" customWidth="1"/>
    <col min="30" max="30" width="153.83203125" customWidth="1"/>
  </cols>
  <sheetData>
    <row r="8" spans="1:27" x14ac:dyDescent="0.2">
      <c r="A8" s="24"/>
      <c r="B8" s="2"/>
      <c r="C8" s="2"/>
      <c r="D8" s="2"/>
      <c r="E8" s="2"/>
      <c r="F8" s="2"/>
      <c r="G8" s="2"/>
      <c r="H8" s="2"/>
      <c r="I8" s="2"/>
      <c r="J8" s="2"/>
      <c r="K8" s="2"/>
    </row>
    <row r="9" spans="1:27" x14ac:dyDescent="0.2">
      <c r="A9" s="2"/>
      <c r="B9" s="2"/>
      <c r="C9" s="2"/>
      <c r="D9" s="2"/>
      <c r="E9" s="2"/>
      <c r="F9" s="2"/>
      <c r="G9" s="2"/>
      <c r="H9" s="2"/>
      <c r="I9" s="2"/>
      <c r="J9" s="2"/>
      <c r="K9" s="2"/>
    </row>
    <row r="10" spans="1:27" ht="27.75" customHeight="1" x14ac:dyDescent="0.2"/>
    <row r="11" spans="1:27" ht="63.75" customHeight="1" x14ac:dyDescent="0.2">
      <c r="A11" s="672" t="s">
        <v>47</v>
      </c>
      <c r="B11" s="673"/>
      <c r="I11" s="258"/>
      <c r="J11" s="258"/>
      <c r="K11" s="258"/>
      <c r="L11" s="258"/>
      <c r="M11" s="258"/>
      <c r="N11" s="258"/>
      <c r="O11" s="258"/>
      <c r="P11" s="258"/>
      <c r="Q11" s="258"/>
      <c r="R11" s="258"/>
      <c r="S11" s="258"/>
      <c r="T11" s="258"/>
      <c r="U11" s="258"/>
      <c r="V11" s="258"/>
      <c r="W11" s="258"/>
      <c r="X11" s="258"/>
      <c r="Y11" s="258"/>
      <c r="Z11" s="258"/>
      <c r="AA11" s="258"/>
    </row>
    <row r="12" spans="1:27" ht="23.25" customHeight="1" x14ac:dyDescent="0.25">
      <c r="A12" s="221" t="s">
        <v>48</v>
      </c>
      <c r="B12" s="238" t="s">
        <v>49</v>
      </c>
      <c r="I12" s="258"/>
      <c r="J12" s="258"/>
      <c r="K12" s="258"/>
      <c r="L12" s="258"/>
      <c r="M12" s="258"/>
      <c r="N12" s="258"/>
      <c r="O12" s="258"/>
      <c r="P12" s="258"/>
      <c r="Q12" s="258"/>
      <c r="R12" s="258"/>
      <c r="S12" s="258"/>
      <c r="T12" s="258"/>
      <c r="U12" s="258"/>
      <c r="V12" s="258"/>
      <c r="W12" s="258"/>
      <c r="X12" s="258"/>
      <c r="Y12" s="258"/>
      <c r="Z12" s="258"/>
      <c r="AA12" s="258"/>
    </row>
    <row r="13" spans="1:27" ht="23.25" customHeight="1" x14ac:dyDescent="0.25">
      <c r="A13" s="222" t="s">
        <v>50</v>
      </c>
      <c r="B13" s="239" t="s">
        <v>51</v>
      </c>
      <c r="I13" s="258"/>
      <c r="J13" s="258"/>
      <c r="K13" s="258"/>
      <c r="L13" s="258"/>
      <c r="M13" s="258"/>
      <c r="N13" s="258"/>
      <c r="O13" s="258"/>
      <c r="P13" s="258"/>
      <c r="Q13" s="258"/>
      <c r="R13" s="258"/>
      <c r="S13" s="258"/>
      <c r="T13" s="258"/>
      <c r="U13" s="258"/>
      <c r="V13" s="258"/>
      <c r="W13" s="258"/>
      <c r="X13" s="258"/>
      <c r="Y13" s="258"/>
      <c r="Z13" s="258"/>
      <c r="AA13" s="258"/>
    </row>
    <row r="14" spans="1:27" ht="26" x14ac:dyDescent="0.25">
      <c r="A14" s="223"/>
      <c r="B14" s="240"/>
      <c r="I14" s="255"/>
      <c r="J14" s="255"/>
      <c r="K14" s="255"/>
      <c r="L14" s="255"/>
      <c r="M14" s="255"/>
      <c r="N14" s="255"/>
      <c r="O14" s="255"/>
      <c r="P14" s="255"/>
      <c r="Q14" s="255"/>
      <c r="R14" s="255"/>
      <c r="S14" s="255"/>
      <c r="T14" s="255"/>
      <c r="U14" s="255"/>
      <c r="V14" s="255"/>
      <c r="W14" s="255"/>
      <c r="X14" s="255"/>
      <c r="Y14" s="255"/>
      <c r="Z14" s="255"/>
      <c r="AA14" s="255"/>
    </row>
    <row r="15" spans="1:27" ht="26" x14ac:dyDescent="0.3">
      <c r="A15" s="224" t="s">
        <v>52</v>
      </c>
      <c r="B15" s="241" t="s">
        <v>53</v>
      </c>
      <c r="I15" s="256"/>
      <c r="J15" s="257"/>
      <c r="K15" s="257"/>
      <c r="L15" s="257"/>
      <c r="M15" s="257"/>
      <c r="N15" s="257"/>
      <c r="O15" s="257"/>
      <c r="P15" s="257"/>
      <c r="Q15" s="257"/>
      <c r="R15" s="257"/>
      <c r="S15" s="257"/>
      <c r="T15" s="9"/>
      <c r="U15" s="9"/>
      <c r="V15" s="9"/>
      <c r="W15" s="9"/>
      <c r="X15" s="9"/>
      <c r="Y15" s="9"/>
      <c r="Z15" s="9"/>
      <c r="AA15" s="9"/>
    </row>
    <row r="16" spans="1:27" ht="26" x14ac:dyDescent="0.3">
      <c r="A16" s="225" t="s">
        <v>54</v>
      </c>
      <c r="B16" s="242" t="s">
        <v>55</v>
      </c>
      <c r="I16" s="256"/>
      <c r="J16" s="257"/>
      <c r="K16" s="257"/>
      <c r="L16" s="257"/>
      <c r="M16" s="257"/>
      <c r="N16" s="257"/>
      <c r="O16" s="257"/>
      <c r="P16" s="257"/>
      <c r="Q16" s="257"/>
      <c r="R16" s="257"/>
      <c r="S16" s="257"/>
      <c r="T16" s="9"/>
      <c r="U16" s="9"/>
      <c r="V16" s="9"/>
      <c r="W16" s="9"/>
      <c r="X16" s="9"/>
      <c r="Y16" s="9"/>
      <c r="Z16" s="9"/>
      <c r="AA16" s="9"/>
    </row>
    <row r="17" spans="1:27" ht="26" x14ac:dyDescent="0.3">
      <c r="A17" s="225" t="s">
        <v>56</v>
      </c>
      <c r="B17" s="242" t="s">
        <v>57</v>
      </c>
      <c r="I17" s="256"/>
      <c r="J17" s="257"/>
      <c r="K17" s="257"/>
      <c r="L17" s="257"/>
      <c r="M17" s="257"/>
      <c r="N17" s="257"/>
      <c r="O17" s="257"/>
      <c r="P17" s="257"/>
      <c r="Q17" s="257"/>
      <c r="R17" s="257"/>
      <c r="S17" s="257"/>
      <c r="T17" s="9"/>
      <c r="U17" s="9"/>
      <c r="V17" s="9"/>
      <c r="W17" s="9"/>
      <c r="X17" s="9"/>
      <c r="Y17" s="9"/>
      <c r="Z17" s="9"/>
      <c r="AA17" s="9"/>
    </row>
    <row r="18" spans="1:27" ht="23" x14ac:dyDescent="0.25">
      <c r="A18" s="226" t="s">
        <v>58</v>
      </c>
      <c r="B18" s="243" t="s">
        <v>58</v>
      </c>
    </row>
    <row r="19" spans="1:27" ht="23" x14ac:dyDescent="0.25">
      <c r="A19" s="223"/>
      <c r="B19" s="240"/>
    </row>
    <row r="20" spans="1:27" ht="23" x14ac:dyDescent="0.25">
      <c r="A20" s="227" t="s">
        <v>59</v>
      </c>
      <c r="B20" s="244" t="s">
        <v>60</v>
      </c>
    </row>
    <row r="21" spans="1:27" ht="23" x14ac:dyDescent="0.25">
      <c r="A21" s="228" t="s">
        <v>61</v>
      </c>
      <c r="B21" s="245" t="s">
        <v>62</v>
      </c>
    </row>
    <row r="22" spans="1:27" ht="23" x14ac:dyDescent="0.25">
      <c r="A22" s="229" t="s">
        <v>63</v>
      </c>
      <c r="B22" s="246" t="s">
        <v>64</v>
      </c>
    </row>
    <row r="23" spans="1:27" ht="23" x14ac:dyDescent="0.25">
      <c r="A23" s="223"/>
      <c r="B23" s="240"/>
    </row>
    <row r="24" spans="1:27" ht="23" x14ac:dyDescent="0.25">
      <c r="A24" s="230" t="s">
        <v>65</v>
      </c>
      <c r="B24" s="247" t="s">
        <v>66</v>
      </c>
    </row>
    <row r="25" spans="1:27" ht="23" x14ac:dyDescent="0.25">
      <c r="A25" s="231" t="s">
        <v>67</v>
      </c>
      <c r="B25" s="248" t="s">
        <v>68</v>
      </c>
    </row>
    <row r="26" spans="1:27" ht="23" x14ac:dyDescent="0.25">
      <c r="A26" s="232" t="s">
        <v>69</v>
      </c>
      <c r="B26" s="249" t="s">
        <v>70</v>
      </c>
    </row>
    <row r="27" spans="1:27" ht="23" x14ac:dyDescent="0.25">
      <c r="A27" s="233" t="s">
        <v>71</v>
      </c>
      <c r="B27" s="250" t="s">
        <v>72</v>
      </c>
    </row>
    <row r="28" spans="1:27" ht="23" x14ac:dyDescent="0.25">
      <c r="A28" s="234" t="s">
        <v>73</v>
      </c>
      <c r="B28" s="251" t="s">
        <v>39</v>
      </c>
    </row>
    <row r="29" spans="1:27" ht="23" x14ac:dyDescent="0.25">
      <c r="A29" s="235" t="s">
        <v>74</v>
      </c>
      <c r="B29" s="252" t="s">
        <v>75</v>
      </c>
    </row>
    <row r="30" spans="1:27" ht="23" x14ac:dyDescent="0.25">
      <c r="A30" s="236" t="s">
        <v>76</v>
      </c>
      <c r="B30" s="253" t="s">
        <v>77</v>
      </c>
    </row>
    <row r="31" spans="1:27" ht="23" x14ac:dyDescent="0.25">
      <c r="A31" s="237" t="s">
        <v>78</v>
      </c>
      <c r="B31" s="254" t="s">
        <v>79</v>
      </c>
    </row>
    <row r="32" spans="1:27" ht="26" x14ac:dyDescent="0.3">
      <c r="B32" s="9"/>
    </row>
  </sheetData>
  <mergeCells count="1">
    <mergeCell ref="A11:B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749992370372631"/>
  </sheetPr>
  <dimension ref="A1:N35"/>
  <sheetViews>
    <sheetView zoomScale="75" zoomScaleNormal="308" zoomScalePageLayoutView="308" workbookViewId="0">
      <pane xSplit="1" ySplit="2" topLeftCell="B3" activePane="bottomRight" state="frozen"/>
      <selection pane="topRight" activeCell="B1" sqref="B1"/>
      <selection pane="bottomLeft" activeCell="A3" sqref="A3"/>
      <selection pane="bottomRight" activeCell="C7" sqref="C7"/>
    </sheetView>
  </sheetViews>
  <sheetFormatPr baseColWidth="10" defaultColWidth="8.83203125" defaultRowHeight="15" x14ac:dyDescent="0.2"/>
  <cols>
    <col min="1" max="1" width="16.6640625" bestFit="1" customWidth="1"/>
    <col min="2" max="2" width="37.6640625" customWidth="1"/>
    <col min="3" max="3" width="27.6640625" customWidth="1"/>
    <col min="4" max="4" width="16.83203125" customWidth="1"/>
    <col min="5" max="13" width="27.6640625" customWidth="1"/>
    <col min="14" max="14" width="22.5" customWidth="1"/>
  </cols>
  <sheetData>
    <row r="1" spans="1:14" ht="21" customHeight="1" x14ac:dyDescent="0.25">
      <c r="A1" s="677" t="s">
        <v>7456</v>
      </c>
      <c r="B1" s="676" t="s">
        <v>7457</v>
      </c>
      <c r="C1" s="674" t="s">
        <v>7350</v>
      </c>
      <c r="D1" s="674" t="s">
        <v>7353</v>
      </c>
      <c r="E1" s="674"/>
      <c r="F1" s="674"/>
      <c r="G1" s="674"/>
      <c r="H1" s="674" t="s">
        <v>7355</v>
      </c>
      <c r="I1" s="675" t="s">
        <v>7350</v>
      </c>
      <c r="J1" s="675" t="s">
        <v>7353</v>
      </c>
      <c r="K1" s="675"/>
      <c r="L1" s="675" t="s">
        <v>7349</v>
      </c>
      <c r="M1" s="675" t="s">
        <v>7459</v>
      </c>
    </row>
    <row r="2" spans="1:14" ht="26" customHeight="1" x14ac:dyDescent="0.25">
      <c r="A2" s="677"/>
      <c r="B2" s="701"/>
      <c r="C2" s="314"/>
      <c r="D2" s="315" t="s">
        <v>7562</v>
      </c>
      <c r="E2" s="316" t="s">
        <v>7563</v>
      </c>
      <c r="F2" s="317" t="s">
        <v>7627</v>
      </c>
      <c r="G2" s="318" t="s">
        <v>7354</v>
      </c>
      <c r="H2" s="308"/>
      <c r="I2" s="309" t="s">
        <v>7350</v>
      </c>
      <c r="J2" s="310" t="s">
        <v>7353</v>
      </c>
      <c r="K2" s="313" t="s">
        <v>7354</v>
      </c>
      <c r="L2" s="311"/>
      <c r="M2" s="312"/>
    </row>
    <row r="3" spans="1:14" ht="26.25" customHeight="1" x14ac:dyDescent="0.3">
      <c r="A3" s="745" t="s">
        <v>7427</v>
      </c>
      <c r="B3" s="483" t="s">
        <v>7560</v>
      </c>
      <c r="C3" s="421">
        <v>7750</v>
      </c>
      <c r="D3" s="623">
        <v>0</v>
      </c>
      <c r="E3" s="163">
        <v>0</v>
      </c>
      <c r="F3" s="163">
        <v>0</v>
      </c>
      <c r="G3" s="394">
        <v>7500</v>
      </c>
      <c r="H3" s="165">
        <f>F3+G3-C3</f>
        <v>-250</v>
      </c>
      <c r="I3" s="163">
        <f>SUMIFS('Cashbook ING'!$B:$B, 'Cashbook ING'!$A:$A, "TYW_Location")</f>
        <v>-7825</v>
      </c>
      <c r="J3" s="163">
        <v>0</v>
      </c>
      <c r="K3" s="163">
        <f>SUMIFS('Cashbook ING'!$B:$B, 'Cashbook ING'!$A:$A, "TYW_Funding")</f>
        <v>9000</v>
      </c>
      <c r="L3" s="165">
        <f>K3+J3+I3</f>
        <v>1175</v>
      </c>
      <c r="M3" s="165">
        <f>L3-H3</f>
        <v>1425</v>
      </c>
    </row>
    <row r="4" spans="1:14" ht="26" x14ac:dyDescent="0.3">
      <c r="A4" s="745"/>
      <c r="B4" s="483" t="s">
        <v>7621</v>
      </c>
      <c r="C4" s="421">
        <v>2600</v>
      </c>
      <c r="D4" s="623">
        <v>0</v>
      </c>
      <c r="E4" s="163">
        <v>0</v>
      </c>
      <c r="F4" s="163">
        <v>0</v>
      </c>
      <c r="G4" s="163">
        <v>0</v>
      </c>
      <c r="H4" s="165">
        <f>F4+G4-C4</f>
        <v>-2600</v>
      </c>
      <c r="I4" s="163">
        <f>SUMIFS('Cashbook ING'!$B:$B, 'Cashbook ING'!$A:$A, "TYW_Transport")</f>
        <v>-2834</v>
      </c>
      <c r="J4" s="163">
        <v>0</v>
      </c>
      <c r="K4" s="163">
        <v>0</v>
      </c>
      <c r="L4" s="165">
        <f>K4+J4+I4</f>
        <v>-2834</v>
      </c>
      <c r="M4" s="165">
        <f t="shared" ref="M4:M11" si="0">L4-H4</f>
        <v>-234</v>
      </c>
    </row>
    <row r="5" spans="1:14" ht="26" x14ac:dyDescent="0.3">
      <c r="A5" s="745"/>
      <c r="B5" s="483" t="s">
        <v>7535</v>
      </c>
      <c r="C5" s="421">
        <v>2000</v>
      </c>
      <c r="D5" s="623">
        <v>0</v>
      </c>
      <c r="E5" s="163">
        <v>0</v>
      </c>
      <c r="F5" s="163">
        <v>0</v>
      </c>
      <c r="G5" s="163">
        <v>0</v>
      </c>
      <c r="H5" s="165">
        <f t="shared" ref="H5:H11" si="1">F5+G5-C5</f>
        <v>-2000</v>
      </c>
      <c r="I5" s="163">
        <f>SUMIFS('Cashbook ING'!$B:$B, 'Cashbook ING'!$A:$A, "TYW_Drinks")</f>
        <v>-1538.1799999999998</v>
      </c>
      <c r="J5" s="163">
        <v>0</v>
      </c>
      <c r="K5" s="163">
        <v>0</v>
      </c>
      <c r="L5" s="165">
        <f t="shared" ref="L5:L11" si="2">K5+J5+I5</f>
        <v>-1538.1799999999998</v>
      </c>
      <c r="M5" s="165">
        <f t="shared" si="0"/>
        <v>461.82000000000016</v>
      </c>
    </row>
    <row r="6" spans="1:14" ht="26" x14ac:dyDescent="0.3">
      <c r="A6" s="745"/>
      <c r="B6" s="483" t="s">
        <v>7577</v>
      </c>
      <c r="C6" s="421">
        <v>3700</v>
      </c>
      <c r="D6" s="623">
        <v>0</v>
      </c>
      <c r="E6" s="163">
        <v>0</v>
      </c>
      <c r="F6" s="163">
        <v>0</v>
      </c>
      <c r="G6" s="421">
        <v>1500</v>
      </c>
      <c r="H6" s="165">
        <f t="shared" si="1"/>
        <v>-2200</v>
      </c>
      <c r="I6" s="163">
        <f>SUMIFS('Cashbook ING'!$B:$B, 'Cashbook ING'!$A:$A, "TYW_Food")</f>
        <v>-2792.0899999999997</v>
      </c>
      <c r="J6" s="163">
        <v>0</v>
      </c>
      <c r="K6" s="163">
        <v>0</v>
      </c>
      <c r="L6" s="165">
        <f t="shared" si="2"/>
        <v>-2792.0899999999997</v>
      </c>
      <c r="M6" s="165">
        <f t="shared" si="0"/>
        <v>-592.08999999999969</v>
      </c>
    </row>
    <row r="7" spans="1:14" ht="26" x14ac:dyDescent="0.3">
      <c r="A7" s="745"/>
      <c r="B7" s="483" t="s">
        <v>7628</v>
      </c>
      <c r="C7" s="421">
        <v>80</v>
      </c>
      <c r="D7" s="623">
        <v>0</v>
      </c>
      <c r="E7" s="163">
        <v>0</v>
      </c>
      <c r="F7" s="163">
        <v>0</v>
      </c>
      <c r="G7" s="163">
        <v>0</v>
      </c>
      <c r="H7" s="165">
        <f t="shared" si="1"/>
        <v>-80</v>
      </c>
      <c r="I7" s="163">
        <f>SUMIFS('Cashbook ING'!$B:$B, 'Cashbook ING'!$A:$A, "TYW_Cleaning")</f>
        <v>0</v>
      </c>
      <c r="J7" s="163">
        <v>0</v>
      </c>
      <c r="K7" s="163">
        <v>0</v>
      </c>
      <c r="L7" s="165">
        <f t="shared" si="2"/>
        <v>0</v>
      </c>
      <c r="M7" s="165">
        <f t="shared" si="0"/>
        <v>80</v>
      </c>
    </row>
    <row r="8" spans="1:14" ht="26" x14ac:dyDescent="0.3">
      <c r="A8" s="745"/>
      <c r="B8" s="483" t="s">
        <v>7629</v>
      </c>
      <c r="C8" s="421">
        <v>250</v>
      </c>
      <c r="D8" s="623">
        <v>0</v>
      </c>
      <c r="E8" s="163">
        <v>0</v>
      </c>
      <c r="F8" s="163">
        <v>0</v>
      </c>
      <c r="G8" s="163">
        <v>0</v>
      </c>
      <c r="H8" s="165">
        <f t="shared" si="1"/>
        <v>-250</v>
      </c>
      <c r="I8" s="163">
        <f>SUMIFS('Cashbook ING'!$B:$B, 'Cashbook ING'!$A:$A, "TYW_Activities")</f>
        <v>-52.78</v>
      </c>
      <c r="J8" s="163">
        <v>0</v>
      </c>
      <c r="K8" s="163">
        <v>0</v>
      </c>
      <c r="L8" s="165">
        <f t="shared" si="2"/>
        <v>-52.78</v>
      </c>
      <c r="M8" s="165">
        <f t="shared" si="0"/>
        <v>197.22</v>
      </c>
    </row>
    <row r="9" spans="1:14" ht="26" x14ac:dyDescent="0.3">
      <c r="A9" s="745"/>
      <c r="B9" s="483" t="s">
        <v>7544</v>
      </c>
      <c r="C9" s="421">
        <v>1000</v>
      </c>
      <c r="D9" s="623">
        <v>0</v>
      </c>
      <c r="E9" s="163">
        <v>0</v>
      </c>
      <c r="F9" s="163">
        <v>0</v>
      </c>
      <c r="G9" s="163">
        <v>0</v>
      </c>
      <c r="H9" s="165">
        <f t="shared" si="1"/>
        <v>-1000</v>
      </c>
      <c r="I9" s="163">
        <f>SUMIFS('Cashbook ING'!$B:$B, 'Cashbook ING'!$A:$A, "TYW_Unforseen") + SUMIFS('Cashbook ING'!$B:$B, 'Cashbook ING'!$A:$A, "TYW_Car")</f>
        <v>470.27</v>
      </c>
      <c r="J9" s="163">
        <v>0</v>
      </c>
      <c r="K9" s="163">
        <v>0</v>
      </c>
      <c r="L9" s="165">
        <f t="shared" si="2"/>
        <v>470.27</v>
      </c>
      <c r="M9" s="165">
        <f t="shared" si="0"/>
        <v>1470.27</v>
      </c>
    </row>
    <row r="10" spans="1:14" ht="26" x14ac:dyDescent="0.3">
      <c r="A10" s="745"/>
      <c r="B10" s="483" t="s">
        <v>7630</v>
      </c>
      <c r="C10" s="163">
        <v>0</v>
      </c>
      <c r="D10" s="164">
        <v>1200</v>
      </c>
      <c r="E10" s="163">
        <v>1.25</v>
      </c>
      <c r="F10" s="163">
        <f>E10*D10</f>
        <v>1500</v>
      </c>
      <c r="G10" s="163">
        <v>0</v>
      </c>
      <c r="H10" s="165">
        <f t="shared" si="1"/>
        <v>1500</v>
      </c>
      <c r="I10" s="163">
        <v>0</v>
      </c>
      <c r="J10" s="163">
        <f>SUMIFS('Cashbook Wix'!B2:B6979,'Cashbook Wix'!A2:A6979,"TYW_DrinksSale") + SUMIFS('Cashbook ING'!B2:B6997,'Cashbook ING'!A2:A6997,"TYW_DrinksSale")</f>
        <v>1075.2500000000005</v>
      </c>
      <c r="K10" s="163">
        <v>0</v>
      </c>
      <c r="L10" s="165">
        <f t="shared" si="2"/>
        <v>1075.2500000000005</v>
      </c>
      <c r="M10" s="165">
        <f t="shared" si="0"/>
        <v>-424.74999999999955</v>
      </c>
    </row>
    <row r="11" spans="1:14" ht="26" x14ac:dyDescent="0.3">
      <c r="A11" s="745"/>
      <c r="B11" s="484" t="s">
        <v>7631</v>
      </c>
      <c r="C11" s="163">
        <v>0</v>
      </c>
      <c r="D11" s="164">
        <v>78</v>
      </c>
      <c r="E11" s="163">
        <v>69</v>
      </c>
      <c r="F11" s="163">
        <f>D11*E11</f>
        <v>5382</v>
      </c>
      <c r="G11" s="163">
        <v>0</v>
      </c>
      <c r="H11" s="165">
        <f t="shared" si="1"/>
        <v>5382</v>
      </c>
      <c r="I11" s="163">
        <f>SUMIFS('Cashbook ING'!$B:$B, 'Cashbook ING'!$A:$A, "TYW_Tickets")</f>
        <v>0</v>
      </c>
      <c r="J11" s="163">
        <f>SUMIFS('Cashbook Wix'!$B$2:$B$7012,'Cashbook Wix'!$A$2:$A$7012,"TYW_Member")</f>
        <v>6028.64</v>
      </c>
      <c r="K11" s="163">
        <v>0</v>
      </c>
      <c r="L11" s="165">
        <f t="shared" si="2"/>
        <v>6028.64</v>
      </c>
      <c r="M11" s="165">
        <f t="shared" si="0"/>
        <v>646.64000000000033</v>
      </c>
    </row>
    <row r="12" spans="1:14" s="183" customFormat="1" ht="31" x14ac:dyDescent="0.35">
      <c r="A12" s="184"/>
      <c r="B12" s="485" t="s">
        <v>7501</v>
      </c>
      <c r="C12" s="428">
        <f>SUM(C3:C11)</f>
        <v>17380</v>
      </c>
      <c r="D12" s="429">
        <v>100</v>
      </c>
      <c r="E12" s="428">
        <v>0</v>
      </c>
      <c r="F12" s="428">
        <f t="shared" ref="F12:G12" si="3">SUM(F3:F11)</f>
        <v>6882</v>
      </c>
      <c r="G12" s="428">
        <f t="shared" si="3"/>
        <v>9000</v>
      </c>
      <c r="H12" s="485">
        <f>SUM(H3:H11)</f>
        <v>-1498</v>
      </c>
      <c r="I12" s="430">
        <f>SUM(I3:I11)</f>
        <v>-14571.78</v>
      </c>
      <c r="J12" s="430">
        <f t="shared" ref="J12:K12" si="4">SUM(J3:J11)</f>
        <v>7103.8900000000012</v>
      </c>
      <c r="K12" s="430">
        <f t="shared" si="4"/>
        <v>9000</v>
      </c>
      <c r="L12" s="431">
        <f>SUM(L3:L11)</f>
        <v>1532.1100000000015</v>
      </c>
      <c r="M12" s="431">
        <f>SUM(M3:M11)</f>
        <v>3030.110000000001</v>
      </c>
      <c r="N12" s="216"/>
    </row>
    <row r="13" spans="1:14" ht="26" x14ac:dyDescent="0.3">
      <c r="A13" s="9"/>
      <c r="B13" s="9"/>
      <c r="C13" s="9"/>
      <c r="D13" s="123"/>
      <c r="E13" s="9"/>
      <c r="F13" s="9"/>
      <c r="G13" s="9"/>
      <c r="H13" s="9"/>
      <c r="I13" s="9"/>
      <c r="J13" s="9"/>
      <c r="K13" s="9"/>
      <c r="L13" s="9"/>
      <c r="M13" s="9"/>
    </row>
    <row r="14" spans="1:14" ht="26" x14ac:dyDescent="0.3">
      <c r="A14" s="9"/>
      <c r="B14" s="9"/>
      <c r="C14" s="9"/>
      <c r="D14" s="9"/>
      <c r="E14" s="9"/>
      <c r="F14" s="9"/>
      <c r="G14" s="9"/>
      <c r="H14" s="9"/>
      <c r="I14" s="9"/>
      <c r="J14" s="9"/>
      <c r="K14" s="9"/>
      <c r="L14" s="9"/>
      <c r="M14" s="9"/>
    </row>
    <row r="15" spans="1:14" ht="26" x14ac:dyDescent="0.3">
      <c r="A15" s="9"/>
      <c r="B15" s="9"/>
      <c r="C15" s="9"/>
      <c r="D15" s="9"/>
      <c r="E15" s="9"/>
      <c r="F15" s="12"/>
      <c r="G15" s="9"/>
      <c r="H15" s="9"/>
      <c r="I15" s="9"/>
      <c r="J15" s="9"/>
      <c r="K15" s="9"/>
      <c r="L15" s="9"/>
      <c r="M15" s="9"/>
    </row>
    <row r="16" spans="1:14" ht="26" x14ac:dyDescent="0.3">
      <c r="A16" s="9"/>
      <c r="B16" s="9"/>
      <c r="C16" s="9"/>
      <c r="D16" s="9"/>
      <c r="E16" s="9"/>
      <c r="F16" s="9"/>
      <c r="G16" s="9"/>
      <c r="H16" s="9"/>
      <c r="I16" s="9"/>
      <c r="J16" s="9"/>
      <c r="K16" s="9"/>
      <c r="L16" s="9"/>
      <c r="M16" s="9"/>
    </row>
    <row r="17" spans="1:13" ht="26" x14ac:dyDescent="0.3">
      <c r="A17" s="9"/>
      <c r="B17" s="9"/>
      <c r="C17" s="9"/>
      <c r="D17" s="9"/>
      <c r="E17" s="9"/>
      <c r="F17" s="9"/>
      <c r="G17" s="9"/>
      <c r="H17" s="9"/>
      <c r="I17" s="9"/>
      <c r="J17" s="9"/>
      <c r="K17" s="9"/>
      <c r="L17" s="9"/>
      <c r="M17" s="9"/>
    </row>
    <row r="18" spans="1:13" ht="26" x14ac:dyDescent="0.3">
      <c r="A18" s="9"/>
      <c r="B18" s="9"/>
      <c r="C18" s="9"/>
      <c r="D18" s="9"/>
      <c r="E18" s="9"/>
      <c r="F18" s="9"/>
      <c r="G18" s="9"/>
      <c r="H18" s="9"/>
      <c r="I18" s="9"/>
      <c r="J18" s="9"/>
      <c r="K18" s="9"/>
      <c r="L18" s="9"/>
      <c r="M18" s="9"/>
    </row>
    <row r="19" spans="1:13" ht="26" x14ac:dyDescent="0.3">
      <c r="A19" s="9"/>
      <c r="B19" s="9"/>
      <c r="C19" s="9"/>
      <c r="D19" s="9"/>
      <c r="E19" s="9"/>
      <c r="F19" s="9"/>
      <c r="G19" s="9"/>
      <c r="H19" s="9"/>
      <c r="I19" s="9"/>
      <c r="J19" s="9"/>
      <c r="K19" s="9"/>
      <c r="L19" s="9"/>
      <c r="M19" s="9"/>
    </row>
    <row r="20" spans="1:13" ht="15.75" customHeight="1" x14ac:dyDescent="0.2"/>
    <row r="21" spans="1:13" ht="15.75" customHeight="1" x14ac:dyDescent="0.2"/>
    <row r="22" spans="1:13" ht="15.75" customHeight="1" x14ac:dyDescent="0.2"/>
    <row r="23" spans="1:13" ht="15.75" customHeight="1" x14ac:dyDescent="0.2"/>
    <row r="24" spans="1:13" ht="15.75" customHeight="1" x14ac:dyDescent="0.2"/>
    <row r="25" spans="1:13" ht="15.75" customHeight="1" x14ac:dyDescent="0.2"/>
    <row r="26" spans="1:13" ht="15.75" customHeight="1" x14ac:dyDescent="0.2"/>
    <row r="27" spans="1:13" ht="15.75" customHeight="1" x14ac:dyDescent="0.2"/>
    <row r="28" spans="1:13" ht="15.75" customHeight="1" x14ac:dyDescent="0.2"/>
    <row r="29" spans="1:13" ht="15.75" customHeight="1" x14ac:dyDescent="0.2"/>
    <row r="30" spans="1:13" ht="15.75" customHeight="1" x14ac:dyDescent="0.2"/>
    <row r="31" spans="1:13" ht="15.75" customHeight="1" x14ac:dyDescent="0.2"/>
    <row r="32" spans="1:13" ht="15.75" customHeight="1" x14ac:dyDescent="0.2"/>
    <row r="33" ht="15.75" customHeight="1" x14ac:dyDescent="0.2"/>
    <row r="34" ht="15.75" customHeight="1" x14ac:dyDescent="0.2"/>
    <row r="35" ht="15.75" customHeight="1" x14ac:dyDescent="0.2"/>
  </sheetData>
  <mergeCells count="5">
    <mergeCell ref="A3:A11"/>
    <mergeCell ref="A1:A2"/>
    <mergeCell ref="B1:B2"/>
    <mergeCell ref="C1:H1"/>
    <mergeCell ref="I1:M1"/>
  </mergeCells>
  <conditionalFormatting sqref="A1:C1 I1:M1 A2 H2 L2:M2">
    <cfRule type="cellIs" dxfId="13" priority="1" operator="lessThan">
      <formula>0</formula>
    </cfRule>
  </conditionalFormatting>
  <conditionalFormatting sqref="N12">
    <cfRule type="cellIs" dxfId="12" priority="2" operator="lessThan">
      <formula>0</formula>
    </cfRule>
  </conditionalFormatting>
  <pageMargins left="0.7" right="0.7" top="0.78740157499999996" bottom="0.78740157499999996"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sheetPr>
  <dimension ref="A1:K11"/>
  <sheetViews>
    <sheetView zoomScale="75" workbookViewId="0">
      <selection activeCell="C4" sqref="C4"/>
    </sheetView>
  </sheetViews>
  <sheetFormatPr baseColWidth="10" defaultColWidth="8.83203125" defaultRowHeight="15" customHeight="1" x14ac:dyDescent="0.2"/>
  <cols>
    <col min="1" max="1" width="18" bestFit="1" customWidth="1"/>
    <col min="2" max="2" width="27" bestFit="1" customWidth="1"/>
    <col min="3" max="6" width="25.83203125" customWidth="1"/>
    <col min="7" max="7" width="21.5" customWidth="1"/>
    <col min="8" max="11" width="25.83203125" customWidth="1"/>
  </cols>
  <sheetData>
    <row r="1" spans="1:11" ht="30" customHeight="1" x14ac:dyDescent="0.25">
      <c r="A1" s="677" t="s">
        <v>7456</v>
      </c>
      <c r="B1" s="676" t="s">
        <v>7457</v>
      </c>
      <c r="C1" s="674" t="s">
        <v>7348</v>
      </c>
      <c r="D1" s="674"/>
      <c r="E1" s="674"/>
      <c r="F1" s="674"/>
      <c r="G1" s="675" t="s">
        <v>7503</v>
      </c>
      <c r="H1" s="675"/>
      <c r="I1" s="675"/>
      <c r="J1" s="675"/>
      <c r="K1" s="675"/>
    </row>
    <row r="2" spans="1:11" ht="30" customHeight="1" x14ac:dyDescent="0.25">
      <c r="A2" s="677"/>
      <c r="B2" s="701"/>
      <c r="C2" s="314" t="s">
        <v>7632</v>
      </c>
      <c r="D2" s="315" t="s">
        <v>7353</v>
      </c>
      <c r="E2" s="316" t="s">
        <v>7458</v>
      </c>
      <c r="F2" s="378" t="s">
        <v>7355</v>
      </c>
      <c r="G2" s="318" t="s">
        <v>7350</v>
      </c>
      <c r="H2" s="308" t="s">
        <v>7353</v>
      </c>
      <c r="I2" s="309" t="s">
        <v>7458</v>
      </c>
      <c r="J2" s="310" t="s">
        <v>7355</v>
      </c>
      <c r="K2" s="313"/>
    </row>
    <row r="3" spans="1:11" ht="30" customHeight="1" x14ac:dyDescent="0.3">
      <c r="A3" s="746" t="s">
        <v>7435</v>
      </c>
      <c r="B3" s="165" t="s">
        <v>7633</v>
      </c>
      <c r="C3" s="192">
        <v>3800</v>
      </c>
      <c r="D3" s="192">
        <v>0</v>
      </c>
      <c r="E3" s="501">
        <v>3800</v>
      </c>
      <c r="F3" s="194">
        <f t="shared" ref="F3:F4" si="0">D3+E3-C3</f>
        <v>0</v>
      </c>
      <c r="G3" s="192">
        <f>SUMIFS('Cashbook ING'!$B:$B, 'Cashbook ING'!$A:$A, "YB_Books")</f>
        <v>0</v>
      </c>
      <c r="H3" s="192">
        <f>SUMIFS('Cashbook Wix'!$B$2:$B$7012,'Cashbook Wix'!$A$2:$A$7012,"YB_Books")</f>
        <v>0</v>
      </c>
      <c r="I3" s="193">
        <v>0</v>
      </c>
      <c r="J3" s="194">
        <f>H3+I3+G3</f>
        <v>0</v>
      </c>
      <c r="K3" s="194">
        <f>J3-F3</f>
        <v>0</v>
      </c>
    </row>
    <row r="4" spans="1:11" ht="30" customHeight="1" x14ac:dyDescent="0.3">
      <c r="A4" s="747"/>
      <c r="B4" s="624" t="s">
        <v>7388</v>
      </c>
      <c r="C4" s="625">
        <v>0</v>
      </c>
      <c r="D4" s="445">
        <v>0</v>
      </c>
      <c r="E4" s="502">
        <v>0</v>
      </c>
      <c r="F4" s="446">
        <f t="shared" si="0"/>
        <v>0</v>
      </c>
      <c r="G4" s="445">
        <f>SUMIFS('Cashbook ING'!$B:$B, 'Cashbook ING'!$A:$A, "YB_Photos")</f>
        <v>0</v>
      </c>
      <c r="H4" s="445">
        <v>0</v>
      </c>
      <c r="I4" s="447">
        <v>0</v>
      </c>
      <c r="J4" s="446">
        <f>H4+I4+G4</f>
        <v>0</v>
      </c>
      <c r="K4" s="446">
        <f>J4-F4</f>
        <v>0</v>
      </c>
    </row>
    <row r="5" spans="1:11" s="183" customFormat="1" ht="30" customHeight="1" x14ac:dyDescent="0.35">
      <c r="A5" s="448"/>
      <c r="B5" s="486" t="s">
        <v>7501</v>
      </c>
      <c r="C5" s="444">
        <f>SUM(C3:C4)</f>
        <v>3800</v>
      </c>
      <c r="D5" s="444">
        <f t="shared" ref="D5:H5" si="1">SUM(D3:D4)</f>
        <v>0</v>
      </c>
      <c r="E5" s="444">
        <f t="shared" si="1"/>
        <v>3800</v>
      </c>
      <c r="F5" s="486">
        <f>SUM(F3:F4)</f>
        <v>0</v>
      </c>
      <c r="G5" s="444">
        <f t="shared" si="1"/>
        <v>0</v>
      </c>
      <c r="H5" s="444">
        <f t="shared" si="1"/>
        <v>0</v>
      </c>
      <c r="I5" s="444">
        <f>IF(E5=0, 0,IF(AND(E5&gt;0,E5&lt;G5),E5,G5))</f>
        <v>0</v>
      </c>
      <c r="J5" s="486">
        <f>SUM(J3:J4)</f>
        <v>0</v>
      </c>
      <c r="K5" s="486">
        <f>SUM(K3:K4)</f>
        <v>0</v>
      </c>
    </row>
    <row r="6" spans="1:11" ht="14.5" customHeight="1" x14ac:dyDescent="0.2">
      <c r="A6" s="3"/>
    </row>
    <row r="7" spans="1:11" ht="14.5" customHeight="1" x14ac:dyDescent="0.2">
      <c r="A7" s="3"/>
    </row>
    <row r="8" spans="1:11" ht="14.5" customHeight="1" x14ac:dyDescent="0.2">
      <c r="A8" s="3"/>
    </row>
    <row r="9" spans="1:11" ht="14.5" customHeight="1" x14ac:dyDescent="0.2">
      <c r="A9" s="3"/>
    </row>
    <row r="10" spans="1:11" ht="14.5" customHeight="1" x14ac:dyDescent="0.2"/>
    <row r="11" spans="1:11" x14ac:dyDescent="0.2"/>
  </sheetData>
  <mergeCells count="5">
    <mergeCell ref="A3:A4"/>
    <mergeCell ref="C1:F1"/>
    <mergeCell ref="A1:A2"/>
    <mergeCell ref="G1:K1"/>
    <mergeCell ref="B1:B2"/>
  </mergeCells>
  <conditionalFormatting sqref="A1:C1 A2 H2">
    <cfRule type="cellIs" dxfId="11" priority="1" operator="lessThan">
      <formula>0</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M15"/>
  <sheetViews>
    <sheetView zoomScale="68" workbookViewId="0">
      <pane xSplit="1" ySplit="2" topLeftCell="B3" activePane="bottomRight" state="frozen"/>
      <selection pane="topRight" activeCell="B1" sqref="B1"/>
      <selection pane="bottomLeft" activeCell="A3" sqref="A3"/>
      <selection pane="bottomRight" activeCell="C7" sqref="C7"/>
    </sheetView>
  </sheetViews>
  <sheetFormatPr baseColWidth="10" defaultColWidth="11.5" defaultRowHeight="15" x14ac:dyDescent="0.2"/>
  <cols>
    <col min="1" max="1" width="39.1640625" customWidth="1"/>
    <col min="2" max="2" width="37.1640625" customWidth="1"/>
    <col min="3" max="3" width="22.6640625" customWidth="1"/>
    <col min="4" max="4" width="16.83203125" customWidth="1"/>
    <col min="5" max="6" width="22.6640625" customWidth="1"/>
    <col min="7" max="7" width="29.6640625" customWidth="1"/>
    <col min="8" max="8" width="29.5" customWidth="1"/>
    <col min="9" max="13" width="22.6640625" customWidth="1"/>
  </cols>
  <sheetData>
    <row r="1" spans="1:13" ht="21" customHeight="1" x14ac:dyDescent="0.25">
      <c r="A1" s="677" t="s">
        <v>7456</v>
      </c>
      <c r="B1" s="676" t="s">
        <v>7457</v>
      </c>
      <c r="C1" s="674" t="s">
        <v>7348</v>
      </c>
      <c r="D1" s="674"/>
      <c r="E1" s="674"/>
      <c r="F1" s="674"/>
      <c r="G1" s="674"/>
      <c r="H1" s="674"/>
      <c r="I1" s="675" t="s">
        <v>7503</v>
      </c>
      <c r="J1" s="675"/>
      <c r="K1" s="675"/>
      <c r="L1" s="675"/>
      <c r="M1" s="675"/>
    </row>
    <row r="2" spans="1:13" ht="21" customHeight="1" x14ac:dyDescent="0.25">
      <c r="A2" s="677"/>
      <c r="B2" s="701"/>
      <c r="C2" s="314" t="s">
        <v>7350</v>
      </c>
      <c r="D2" s="315" t="s">
        <v>7562</v>
      </c>
      <c r="E2" s="316" t="s">
        <v>7563</v>
      </c>
      <c r="F2" s="317" t="s">
        <v>7353</v>
      </c>
      <c r="G2" s="318" t="s">
        <v>7458</v>
      </c>
      <c r="H2" s="308" t="s">
        <v>7355</v>
      </c>
      <c r="I2" s="309" t="s">
        <v>7350</v>
      </c>
      <c r="J2" s="310" t="s">
        <v>7353</v>
      </c>
      <c r="K2" s="313" t="s">
        <v>7458</v>
      </c>
      <c r="L2" s="311" t="s">
        <v>7355</v>
      </c>
      <c r="M2" s="312" t="s">
        <v>7459</v>
      </c>
    </row>
    <row r="3" spans="1:13" ht="26" customHeight="1" x14ac:dyDescent="0.3">
      <c r="A3" s="748" t="s">
        <v>73</v>
      </c>
      <c r="B3" s="479" t="s">
        <v>7634</v>
      </c>
      <c r="C3" s="155">
        <v>700</v>
      </c>
      <c r="D3" s="154">
        <v>0</v>
      </c>
      <c r="E3" s="155">
        <v>0</v>
      </c>
      <c r="F3" s="155">
        <v>0</v>
      </c>
      <c r="G3" s="155">
        <v>0</v>
      </c>
      <c r="H3" s="191">
        <f>F3+G3-C3</f>
        <v>-700</v>
      </c>
      <c r="I3" s="190">
        <f>SUMIFS('Cashbook ING'!$B:$B, 'Cashbook ING'!$A:$A, "AIMW_Pizza")</f>
        <v>-689.61</v>
      </c>
      <c r="J3" s="155">
        <v>0</v>
      </c>
      <c r="K3" s="155">
        <v>0</v>
      </c>
      <c r="L3" s="189">
        <f>J3+K3+I3</f>
        <v>-689.61</v>
      </c>
      <c r="M3" s="189">
        <f t="shared" ref="M3:M9" si="0">L3-H3</f>
        <v>10.389999999999986</v>
      </c>
    </row>
    <row r="4" spans="1:13" ht="26" customHeight="1" x14ac:dyDescent="0.3">
      <c r="A4" s="749"/>
      <c r="B4" s="480" t="s">
        <v>7428</v>
      </c>
      <c r="C4" s="159">
        <f>10*180</f>
        <v>1800</v>
      </c>
      <c r="D4" s="158">
        <v>0</v>
      </c>
      <c r="E4" s="159">
        <v>0</v>
      </c>
      <c r="F4" s="159">
        <v>0</v>
      </c>
      <c r="G4" s="159">
        <v>0</v>
      </c>
      <c r="H4" s="191">
        <f t="shared" ref="H4:H7" si="1">F4+G4-C4</f>
        <v>-1800</v>
      </c>
      <c r="I4" s="188">
        <f>SUMIFS('Cashbook ING'!$B:$B, 'Cashbook ING'!$A:$A, "AIMW_Bowling")</f>
        <v>-1337.4</v>
      </c>
      <c r="J4" s="159">
        <v>0</v>
      </c>
      <c r="K4" s="159">
        <v>0</v>
      </c>
      <c r="L4" s="191">
        <f>K4+J4+I4</f>
        <v>-1337.4</v>
      </c>
      <c r="M4" s="191">
        <f t="shared" si="0"/>
        <v>462.59999999999991</v>
      </c>
    </row>
    <row r="5" spans="1:13" ht="26" customHeight="1" x14ac:dyDescent="0.3">
      <c r="A5" s="749"/>
      <c r="B5" s="480" t="s">
        <v>7635</v>
      </c>
      <c r="C5" s="159">
        <v>200</v>
      </c>
      <c r="D5" s="158">
        <v>0</v>
      </c>
      <c r="E5" s="159">
        <v>0</v>
      </c>
      <c r="F5" s="159">
        <v>0</v>
      </c>
      <c r="G5" s="159">
        <v>0</v>
      </c>
      <c r="H5" s="191">
        <f t="shared" si="1"/>
        <v>-200</v>
      </c>
      <c r="I5" s="188">
        <f>SUMIFS('Cashbook ING'!$B:$B, 'Cashbook ING'!$A:$A, "AIMW_Supplies")</f>
        <v>-195.2</v>
      </c>
      <c r="J5" s="159">
        <v>0</v>
      </c>
      <c r="K5" s="159">
        <v>0</v>
      </c>
      <c r="L5" s="191">
        <f t="shared" ref="L5:L7" si="2">K5+J5+I5</f>
        <v>-195.2</v>
      </c>
      <c r="M5" s="191">
        <f t="shared" si="0"/>
        <v>4.8000000000000114</v>
      </c>
    </row>
    <row r="6" spans="1:13" ht="26" customHeight="1" x14ac:dyDescent="0.3">
      <c r="A6" s="749"/>
      <c r="B6" s="480" t="s">
        <v>7636</v>
      </c>
      <c r="C6" s="159">
        <v>1100</v>
      </c>
      <c r="D6" s="158">
        <v>0</v>
      </c>
      <c r="E6" s="159">
        <v>0</v>
      </c>
      <c r="F6" s="159">
        <v>0</v>
      </c>
      <c r="G6" s="159">
        <v>0</v>
      </c>
      <c r="H6" s="191">
        <f t="shared" si="1"/>
        <v>-1100</v>
      </c>
      <c r="I6" s="188">
        <f>SUMIFS('Cashbook ING'!$B$2:$B$7021, 'Cashbook ING'!$A$2:$A$7021, "AIMW_Party_OpenBar")
+SUMIFS('Cashbook ING'!$B$2:$B$7021, 'Cashbook ING'!$A$2:$A$7021, "AIMW_Party_DJ")</f>
        <v>-2361.84</v>
      </c>
      <c r="J6" s="159">
        <v>0</v>
      </c>
      <c r="K6" s="159">
        <v>0</v>
      </c>
      <c r="L6" s="191">
        <f t="shared" si="2"/>
        <v>-2361.84</v>
      </c>
      <c r="M6" s="191">
        <f t="shared" si="0"/>
        <v>-1261.8400000000001</v>
      </c>
    </row>
    <row r="7" spans="1:13" ht="26" customHeight="1" x14ac:dyDescent="0.3">
      <c r="A7" s="749"/>
      <c r="B7" s="618" t="s">
        <v>7637</v>
      </c>
      <c r="C7" s="616">
        <v>700</v>
      </c>
      <c r="D7" s="617">
        <v>0</v>
      </c>
      <c r="E7" s="616">
        <v>0</v>
      </c>
      <c r="F7" s="159">
        <v>0</v>
      </c>
      <c r="G7" s="159">
        <v>0</v>
      </c>
      <c r="H7" s="191">
        <f t="shared" si="1"/>
        <v>-700</v>
      </c>
      <c r="I7" s="188">
        <f>SUMIFS('Cashbook ING'!$B:$B, 'Cashbook ING'!$A:$A, "AIMW_Karaoke")</f>
        <v>-1152</v>
      </c>
      <c r="J7" s="159">
        <v>0</v>
      </c>
      <c r="K7" s="159">
        <v>0</v>
      </c>
      <c r="L7" s="191">
        <f t="shared" si="2"/>
        <v>-1152</v>
      </c>
      <c r="M7" s="191">
        <f t="shared" si="0"/>
        <v>-452</v>
      </c>
    </row>
    <row r="8" spans="1:13" ht="26" customHeight="1" x14ac:dyDescent="0.3">
      <c r="A8" s="749"/>
      <c r="B8" s="618" t="s">
        <v>7638</v>
      </c>
      <c r="C8" s="616">
        <v>200</v>
      </c>
      <c r="D8" s="617">
        <v>0</v>
      </c>
      <c r="E8" s="616">
        <v>0</v>
      </c>
      <c r="F8" s="159">
        <v>0</v>
      </c>
      <c r="G8" s="159">
        <v>0</v>
      </c>
      <c r="H8" s="191">
        <f>F8+G8-C8</f>
        <v>-200</v>
      </c>
      <c r="I8" s="188">
        <f>SUMIFS('Cashbook ING'!$B:$B, 'Cashbook ING'!$A:$A, "AIMW_")</f>
        <v>0</v>
      </c>
      <c r="J8" s="159">
        <v>0</v>
      </c>
      <c r="K8" s="159">
        <v>0</v>
      </c>
      <c r="L8" s="191">
        <f t="shared" ref="L8:L9" si="3">J8+K8+I8</f>
        <v>0</v>
      </c>
      <c r="M8" s="191">
        <f t="shared" si="0"/>
        <v>200</v>
      </c>
    </row>
    <row r="9" spans="1:13" ht="26" customHeight="1" x14ac:dyDescent="0.3">
      <c r="A9" s="749"/>
      <c r="B9" s="618" t="s">
        <v>7639</v>
      </c>
      <c r="C9" s="616">
        <v>0</v>
      </c>
      <c r="D9" s="617">
        <v>170</v>
      </c>
      <c r="E9" s="616">
        <v>19</v>
      </c>
      <c r="F9" s="159">
        <f>E9*D9</f>
        <v>3230</v>
      </c>
      <c r="G9" s="159">
        <v>0</v>
      </c>
      <c r="H9" s="191">
        <f t="shared" ref="H9" si="4">F9+G9-C9</f>
        <v>3230</v>
      </c>
      <c r="I9" s="188">
        <v>0</v>
      </c>
      <c r="J9" s="159">
        <f>SUMIFS('Cashbook Wix'!$B$2:$B$7012,'Cashbook Wix'!$A$2:$A$7012,"AIMW_Tickets")</f>
        <v>4498.5700000000115</v>
      </c>
      <c r="K9" s="159">
        <v>0</v>
      </c>
      <c r="L9" s="191">
        <f t="shared" si="3"/>
        <v>4498.5700000000115</v>
      </c>
      <c r="M9" s="191">
        <f t="shared" si="0"/>
        <v>1268.5700000000115</v>
      </c>
    </row>
    <row r="10" spans="1:13" ht="26" x14ac:dyDescent="0.3">
      <c r="A10" s="749"/>
      <c r="B10" s="487" t="s">
        <v>7355</v>
      </c>
      <c r="C10" s="342">
        <f>SUM(C3:C9)</f>
        <v>4700</v>
      </c>
      <c r="D10" s="343">
        <f>SUM(D3:D9)</f>
        <v>170</v>
      </c>
      <c r="E10" s="342">
        <v>0</v>
      </c>
      <c r="F10" s="342">
        <f>SUM(F3:F9)</f>
        <v>3230</v>
      </c>
      <c r="G10" s="342">
        <f t="shared" ref="G10:L10" si="5">SUM(G3:G9)</f>
        <v>0</v>
      </c>
      <c r="H10" s="344">
        <f>SUM(H3:H9)</f>
        <v>-1470</v>
      </c>
      <c r="I10" s="342">
        <f>SUM(I3:I9)</f>
        <v>-5736.05</v>
      </c>
      <c r="J10" s="342">
        <f t="shared" si="5"/>
        <v>4498.5700000000115</v>
      </c>
      <c r="K10" s="342">
        <f t="shared" si="5"/>
        <v>0</v>
      </c>
      <c r="L10" s="344">
        <f t="shared" si="5"/>
        <v>-1237.4799999999886</v>
      </c>
      <c r="M10" s="344">
        <f>SUM(M3:M9)</f>
        <v>232.52000000001135</v>
      </c>
    </row>
    <row r="11" spans="1:13" s="183" customFormat="1" ht="31" x14ac:dyDescent="0.35">
      <c r="A11" s="452"/>
      <c r="B11" s="488" t="s">
        <v>7443</v>
      </c>
      <c r="C11" s="450">
        <f>SUM(C10)</f>
        <v>4700</v>
      </c>
      <c r="D11" s="449">
        <f>SUM(D10)</f>
        <v>170</v>
      </c>
      <c r="E11" s="450">
        <f t="shared" ref="E11:L11" si="6">SUM(E10)</f>
        <v>0</v>
      </c>
      <c r="F11" s="450">
        <f t="shared" si="6"/>
        <v>3230</v>
      </c>
      <c r="G11" s="450">
        <f t="shared" si="6"/>
        <v>0</v>
      </c>
      <c r="H11" s="451">
        <f>SUM(H10)</f>
        <v>-1470</v>
      </c>
      <c r="I11" s="450">
        <f t="shared" si="6"/>
        <v>-5736.05</v>
      </c>
      <c r="J11" s="450">
        <f t="shared" si="6"/>
        <v>4498.5700000000115</v>
      </c>
      <c r="K11" s="450">
        <f t="shared" si="6"/>
        <v>0</v>
      </c>
      <c r="L11" s="451">
        <f t="shared" si="6"/>
        <v>-1237.4799999999886</v>
      </c>
      <c r="M11" s="451">
        <f>SUM(M10)</f>
        <v>232.52000000001135</v>
      </c>
    </row>
    <row r="15" spans="1:13" ht="26" x14ac:dyDescent="0.3">
      <c r="B15" s="124"/>
    </row>
  </sheetData>
  <mergeCells count="5">
    <mergeCell ref="A1:A2"/>
    <mergeCell ref="B1:B2"/>
    <mergeCell ref="C1:H1"/>
    <mergeCell ref="I1:M1"/>
    <mergeCell ref="A3:A10"/>
  </mergeCells>
  <conditionalFormatting sqref="A1:C1 I1:M1 A2 H2 L2:M2">
    <cfRule type="cellIs" dxfId="10" priority="1" operator="lessThan">
      <formula>0</formula>
    </cfRule>
  </conditionalFormatting>
  <conditionalFormatting sqref="A11:XFD14">
    <cfRule type="cellIs" dxfId="9" priority="2" operator="lessThan">
      <formula>0</formula>
    </cfRule>
  </conditionalFormatting>
  <conditionalFormatting sqref="N1:XFD2 A3:C4 D3:XFD10 B5:C10 A15 C15:XFD15 A16:XFD1048576">
    <cfRule type="cellIs" dxfId="8" priority="9" operator="lessThan">
      <formula>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L19"/>
  <sheetViews>
    <sheetView zoomScale="75" workbookViewId="0">
      <selection activeCell="F24" sqref="F24"/>
    </sheetView>
  </sheetViews>
  <sheetFormatPr baseColWidth="10" defaultColWidth="11.5" defaultRowHeight="26" x14ac:dyDescent="0.3"/>
  <cols>
    <col min="1" max="1" width="33.5" style="9" customWidth="1"/>
    <col min="2" max="2" width="33.1640625" style="9" customWidth="1"/>
    <col min="3" max="3" width="21.5" style="9" customWidth="1"/>
    <col min="4" max="4" width="15.83203125" style="9" customWidth="1"/>
    <col min="5" max="5" width="28" style="9" customWidth="1"/>
    <col min="6" max="6" width="20.1640625" style="9" customWidth="1"/>
    <col min="7" max="7" width="20.5" style="9" customWidth="1"/>
    <col min="8" max="8" width="15.6640625" style="9" customWidth="1"/>
    <col min="9" max="9" width="26.5" style="9" customWidth="1"/>
    <col min="10" max="10" width="23.5" style="9" bestFit="1" customWidth="1"/>
    <col min="11" max="11" width="36.1640625" style="9" bestFit="1" customWidth="1"/>
    <col min="12" max="16384" width="11.5" style="9"/>
  </cols>
  <sheetData>
    <row r="1" spans="1:12" x14ac:dyDescent="0.3">
      <c r="A1" s="753" t="s">
        <v>7456</v>
      </c>
      <c r="B1" s="755" t="s">
        <v>7457</v>
      </c>
      <c r="C1" s="757" t="s">
        <v>7348</v>
      </c>
      <c r="D1" s="758"/>
      <c r="E1" s="758"/>
      <c r="F1" s="759"/>
      <c r="G1" s="760" t="s">
        <v>7503</v>
      </c>
      <c r="H1" s="761"/>
      <c r="I1" s="761"/>
      <c r="J1" s="761"/>
      <c r="K1" s="762"/>
    </row>
    <row r="2" spans="1:12" x14ac:dyDescent="0.3">
      <c r="A2" s="754"/>
      <c r="B2" s="756"/>
      <c r="C2" s="61" t="s">
        <v>7350</v>
      </c>
      <c r="D2" s="77" t="s">
        <v>7353</v>
      </c>
      <c r="E2" s="78" t="s">
        <v>7458</v>
      </c>
      <c r="F2" s="64" t="s">
        <v>7355</v>
      </c>
      <c r="G2" s="65" t="s">
        <v>7350</v>
      </c>
      <c r="H2" s="79" t="s">
        <v>7353</v>
      </c>
      <c r="I2" s="80" t="s">
        <v>7458</v>
      </c>
      <c r="J2" s="54" t="s">
        <v>7355</v>
      </c>
      <c r="K2" s="66" t="s">
        <v>7459</v>
      </c>
    </row>
    <row r="3" spans="1:12" x14ac:dyDescent="0.3">
      <c r="A3" s="763" t="s">
        <v>7640</v>
      </c>
      <c r="B3" s="17" t="s">
        <v>7535</v>
      </c>
      <c r="C3" s="62">
        <v>0</v>
      </c>
      <c r="D3" s="56">
        <v>0</v>
      </c>
      <c r="E3" s="58">
        <v>0</v>
      </c>
      <c r="F3" s="57">
        <f>D3+E3-C3</f>
        <v>0</v>
      </c>
      <c r="G3" s="67">
        <f>SUMIFS('Cashbook ING'!B3:B2984, 'Cashbook ING'!A3:A2984,"WC_Buddy Borrel _Drinks")*-1</f>
        <v>0</v>
      </c>
      <c r="H3" s="56">
        <v>0</v>
      </c>
      <c r="I3" s="94">
        <v>196.09</v>
      </c>
      <c r="J3" s="69">
        <f>H3+I3-G3</f>
        <v>196.09</v>
      </c>
      <c r="K3" s="63">
        <f>J3-F3</f>
        <v>196.09</v>
      </c>
    </row>
    <row r="4" spans="1:12" x14ac:dyDescent="0.3">
      <c r="A4" s="763"/>
      <c r="B4" s="17" t="s">
        <v>7599</v>
      </c>
      <c r="C4" s="47">
        <v>200</v>
      </c>
      <c r="D4" s="59">
        <v>0</v>
      </c>
      <c r="E4" s="60">
        <v>200</v>
      </c>
      <c r="F4" s="12">
        <f>D4+E4-C4</f>
        <v>0</v>
      </c>
      <c r="G4" s="68">
        <f>SUMIFS('Cashbook ING'!B3:B2984, 'Cashbook ING'!A3:A2984,"WC_Buddy Borrel_Unforeseen")*-1</f>
        <v>0</v>
      </c>
      <c r="H4" s="59">
        <v>0</v>
      </c>
      <c r="I4" s="12">
        <v>0</v>
      </c>
      <c r="J4" s="70">
        <f t="shared" ref="J4:J17" si="0">H4+I4-G4</f>
        <v>0</v>
      </c>
      <c r="K4" s="43">
        <f t="shared" ref="K4:K17" si="1">J4-F4</f>
        <v>0</v>
      </c>
    </row>
    <row r="5" spans="1:12" x14ac:dyDescent="0.3">
      <c r="A5" s="763"/>
      <c r="B5" s="45" t="s">
        <v>7641</v>
      </c>
      <c r="C5" s="47">
        <v>0</v>
      </c>
      <c r="D5" s="59">
        <v>0</v>
      </c>
      <c r="E5" s="60">
        <v>0</v>
      </c>
      <c r="F5" s="12">
        <f>D5+E5-C5</f>
        <v>0</v>
      </c>
      <c r="G5" s="68">
        <v>0</v>
      </c>
      <c r="H5" s="59">
        <f>SUMIFS('Cashbook Wix'!B2:B3009,'Cashbook Wix'!A2:A3009,"WC_Buddy Borrel_Ticket sale")</f>
        <v>0</v>
      </c>
      <c r="I5" s="12">
        <v>0</v>
      </c>
      <c r="J5" s="70">
        <f t="shared" si="0"/>
        <v>0</v>
      </c>
      <c r="K5" s="43">
        <f t="shared" si="1"/>
        <v>0</v>
      </c>
    </row>
    <row r="6" spans="1:12" s="21" customFormat="1" x14ac:dyDescent="0.3">
      <c r="A6" s="764"/>
      <c r="B6" s="13" t="s">
        <v>7511</v>
      </c>
      <c r="C6" s="87">
        <f t="shared" ref="C6:K6" si="2">SUM(C3:C5)</f>
        <v>200</v>
      </c>
      <c r="D6" s="27">
        <f t="shared" si="2"/>
        <v>0</v>
      </c>
      <c r="E6" s="27">
        <f t="shared" si="2"/>
        <v>200</v>
      </c>
      <c r="F6" s="88">
        <f t="shared" si="2"/>
        <v>0</v>
      </c>
      <c r="G6" s="87">
        <f t="shared" si="2"/>
        <v>0</v>
      </c>
      <c r="H6" s="27">
        <f t="shared" si="2"/>
        <v>0</v>
      </c>
      <c r="I6" s="28">
        <f t="shared" si="2"/>
        <v>196.09</v>
      </c>
      <c r="J6" s="14">
        <f t="shared" si="2"/>
        <v>196.09</v>
      </c>
      <c r="K6" s="19">
        <f t="shared" si="2"/>
        <v>196.09</v>
      </c>
    </row>
    <row r="7" spans="1:12" s="21" customFormat="1" x14ac:dyDescent="0.3">
      <c r="A7" s="765" t="s">
        <v>7642</v>
      </c>
      <c r="B7" s="12" t="s">
        <v>7643</v>
      </c>
      <c r="C7" s="20">
        <v>150</v>
      </c>
      <c r="D7" s="12">
        <v>0</v>
      </c>
      <c r="E7" s="12">
        <v>120</v>
      </c>
      <c r="F7" s="82">
        <f>D7+E7-C7</f>
        <v>-30</v>
      </c>
      <c r="G7" s="20">
        <f>SUMIFS('Cashbook ING'!B3:B2984, 'Cashbook ING'!A3:A2984,"WC_Buddy painting_Materials")*-1</f>
        <v>0</v>
      </c>
      <c r="H7" s="12">
        <v>0</v>
      </c>
      <c r="I7" s="10">
        <v>36.090000000000003</v>
      </c>
      <c r="J7" s="11">
        <f>H7+I7-G7</f>
        <v>36.090000000000003</v>
      </c>
      <c r="K7" s="18">
        <f>J7-F7</f>
        <v>66.09</v>
      </c>
    </row>
    <row r="8" spans="1:12" s="21" customFormat="1" x14ac:dyDescent="0.3">
      <c r="A8" s="766"/>
      <c r="B8" s="12" t="s">
        <v>7644</v>
      </c>
      <c r="C8" s="20">
        <v>130</v>
      </c>
      <c r="D8" s="12">
        <v>0</v>
      </c>
      <c r="E8" s="12">
        <v>0</v>
      </c>
      <c r="F8" s="82">
        <f t="shared" ref="F8:F10" si="3">D8+E8-C8</f>
        <v>-130</v>
      </c>
      <c r="G8" s="20">
        <f>SUMIFS('Cashbook ING'!B3:B984, 'Cashbook ING'!A3:A984,"WC_Buddy painting_Pizza")*-1</f>
        <v>0</v>
      </c>
      <c r="H8" s="12">
        <v>0</v>
      </c>
      <c r="I8" s="10">
        <v>0</v>
      </c>
      <c r="J8" s="11">
        <f t="shared" ref="J8:J10" si="4">H8+I8-G8</f>
        <v>0</v>
      </c>
      <c r="K8" s="18">
        <f t="shared" ref="K8:K10" si="5">J8-F8</f>
        <v>130</v>
      </c>
    </row>
    <row r="9" spans="1:12" s="21" customFormat="1" x14ac:dyDescent="0.3">
      <c r="A9" s="766"/>
      <c r="B9" s="12" t="s">
        <v>7575</v>
      </c>
      <c r="C9" s="20">
        <v>50</v>
      </c>
      <c r="D9" s="12">
        <v>0</v>
      </c>
      <c r="E9" s="12">
        <v>0</v>
      </c>
      <c r="F9" s="82">
        <f t="shared" si="3"/>
        <v>-50</v>
      </c>
      <c r="G9" s="20">
        <f>SUMIFS('Cashbook ING'!B3:B984, 'Cashbook ING'!A3:A984,"WC_Buddy painting_Drinks")*-1</f>
        <v>0</v>
      </c>
      <c r="H9" s="12">
        <v>0</v>
      </c>
      <c r="I9" s="10">
        <v>0</v>
      </c>
      <c r="J9" s="11">
        <f t="shared" si="4"/>
        <v>0</v>
      </c>
      <c r="K9" s="18">
        <f t="shared" si="5"/>
        <v>50</v>
      </c>
    </row>
    <row r="10" spans="1:12" s="21" customFormat="1" x14ac:dyDescent="0.3">
      <c r="A10" s="766"/>
      <c r="B10" s="12" t="s">
        <v>7645</v>
      </c>
      <c r="C10" s="20">
        <v>0</v>
      </c>
      <c r="D10" s="12">
        <f>4*40</f>
        <v>160</v>
      </c>
      <c r="E10" s="12">
        <v>0</v>
      </c>
      <c r="F10" s="82">
        <f t="shared" si="3"/>
        <v>160</v>
      </c>
      <c r="G10" s="20">
        <v>0</v>
      </c>
      <c r="H10" s="12">
        <f>SUMIFS('Cashbook Wix'!B2:B1997,'Cashbook Wix'!A2:A1997,"WC_Buddy painting_Ticket sale")</f>
        <v>0</v>
      </c>
      <c r="I10" s="10">
        <v>0</v>
      </c>
      <c r="J10" s="11">
        <f t="shared" si="4"/>
        <v>0</v>
      </c>
      <c r="K10" s="18">
        <f t="shared" si="5"/>
        <v>-160</v>
      </c>
    </row>
    <row r="11" spans="1:12" s="21" customFormat="1" x14ac:dyDescent="0.3">
      <c r="A11" s="767"/>
      <c r="B11" s="13" t="s">
        <v>7573</v>
      </c>
      <c r="C11" s="87">
        <f t="shared" ref="C11:K11" si="6">SUM(C7:C10)</f>
        <v>330</v>
      </c>
      <c r="D11" s="95">
        <f t="shared" si="6"/>
        <v>160</v>
      </c>
      <c r="E11" s="28">
        <f t="shared" si="6"/>
        <v>120</v>
      </c>
      <c r="F11" s="19">
        <f t="shared" si="6"/>
        <v>-50</v>
      </c>
      <c r="G11" s="87">
        <f t="shared" si="6"/>
        <v>0</v>
      </c>
      <c r="H11" s="27">
        <f t="shared" si="6"/>
        <v>0</v>
      </c>
      <c r="I11" s="28">
        <f t="shared" si="6"/>
        <v>36.090000000000003</v>
      </c>
      <c r="J11" s="27">
        <f t="shared" si="6"/>
        <v>36.090000000000003</v>
      </c>
      <c r="K11" s="88">
        <f t="shared" si="6"/>
        <v>86.09</v>
      </c>
    </row>
    <row r="12" spans="1:12" s="21" customFormat="1" x14ac:dyDescent="0.3">
      <c r="A12" s="768" t="s">
        <v>7646</v>
      </c>
      <c r="B12" s="12" t="s">
        <v>7508</v>
      </c>
      <c r="C12" s="20">
        <v>375</v>
      </c>
      <c r="D12" s="12">
        <v>0</v>
      </c>
      <c r="E12" s="12">
        <v>375</v>
      </c>
      <c r="F12" s="82">
        <f>D12+E12-C12</f>
        <v>0</v>
      </c>
      <c r="G12" s="20">
        <f>SUMIFS('Cashbook ING'!B3:B984, 'Cashbook ING'!A3:A984,"WC_Brunch_Snacks")*-1</f>
        <v>0</v>
      </c>
      <c r="H12" s="12">
        <v>0</v>
      </c>
      <c r="I12" s="10">
        <v>121.81</v>
      </c>
      <c r="J12" s="11">
        <f t="shared" si="0"/>
        <v>121.81</v>
      </c>
      <c r="K12" s="18">
        <f t="shared" si="1"/>
        <v>121.81</v>
      </c>
    </row>
    <row r="13" spans="1:12" s="21" customFormat="1" x14ac:dyDescent="0.3">
      <c r="A13" s="764"/>
      <c r="B13" s="89" t="s">
        <v>7511</v>
      </c>
      <c r="C13" s="90">
        <f>SUM(C12:C12)</f>
        <v>375</v>
      </c>
      <c r="D13" s="91">
        <f>SUM(D12:D12)</f>
        <v>0</v>
      </c>
      <c r="E13" s="92">
        <f>SUM(E12:E12)</f>
        <v>375</v>
      </c>
      <c r="F13" s="93">
        <f>SUM(F12:F12)</f>
        <v>0</v>
      </c>
      <c r="G13" s="90">
        <f>SUM(G12)</f>
        <v>0</v>
      </c>
      <c r="H13" s="90">
        <f t="shared" ref="H13:K13" si="7">SUM(H12)</f>
        <v>0</v>
      </c>
      <c r="I13" s="121">
        <f t="shared" si="7"/>
        <v>121.81</v>
      </c>
      <c r="J13" s="90">
        <f t="shared" si="7"/>
        <v>121.81</v>
      </c>
      <c r="K13" s="90">
        <f t="shared" si="7"/>
        <v>121.81</v>
      </c>
    </row>
    <row r="14" spans="1:12" x14ac:dyDescent="0.3">
      <c r="A14" s="769" t="s">
        <v>7647</v>
      </c>
      <c r="B14" s="15" t="s">
        <v>7648</v>
      </c>
      <c r="C14" s="71">
        <v>500</v>
      </c>
      <c r="D14" s="51">
        <v>0</v>
      </c>
      <c r="E14" s="49">
        <v>500</v>
      </c>
      <c r="F14" s="52">
        <f>D14+E14-C14</f>
        <v>0</v>
      </c>
      <c r="G14" s="74">
        <f>SUMIFS('Cashbook ING'!B3:B984, 'Cashbook ING'!A3:A984,"WC_Thrifting_Vouchers")*-1</f>
        <v>0</v>
      </c>
      <c r="H14" s="76">
        <v>0</v>
      </c>
      <c r="I14" s="53">
        <v>147.84</v>
      </c>
      <c r="J14" s="48">
        <f t="shared" si="0"/>
        <v>147.84</v>
      </c>
      <c r="K14" s="81">
        <f t="shared" si="1"/>
        <v>147.84</v>
      </c>
    </row>
    <row r="15" spans="1:12" x14ac:dyDescent="0.3">
      <c r="A15" s="770"/>
      <c r="B15" s="13" t="s">
        <v>7511</v>
      </c>
      <c r="C15" s="72">
        <f>SUM(C14:C14)</f>
        <v>500</v>
      </c>
      <c r="D15" s="50">
        <f t="shared" ref="D15:K15" si="8">SUM(D14:D14)</f>
        <v>0</v>
      </c>
      <c r="E15" s="55">
        <f>SUM(E14)</f>
        <v>500</v>
      </c>
      <c r="F15" s="73">
        <f t="shared" si="8"/>
        <v>0</v>
      </c>
      <c r="G15" s="83">
        <f t="shared" si="8"/>
        <v>0</v>
      </c>
      <c r="H15" s="85">
        <f t="shared" si="8"/>
        <v>0</v>
      </c>
      <c r="I15" s="73">
        <f t="shared" si="8"/>
        <v>147.84</v>
      </c>
      <c r="J15" s="85">
        <f t="shared" si="8"/>
        <v>147.84</v>
      </c>
      <c r="K15" s="86">
        <f t="shared" si="8"/>
        <v>147.84</v>
      </c>
      <c r="L15" s="84"/>
    </row>
    <row r="16" spans="1:12" x14ac:dyDescent="0.3">
      <c r="A16" s="750" t="s">
        <v>7649</v>
      </c>
      <c r="B16" s="98" t="s">
        <v>7650</v>
      </c>
      <c r="C16" s="99">
        <v>100</v>
      </c>
      <c r="D16" s="100">
        <v>0</v>
      </c>
      <c r="E16" s="101">
        <v>100</v>
      </c>
      <c r="F16" s="102">
        <f>D16+E16-C16</f>
        <v>0</v>
      </c>
      <c r="G16" s="103">
        <v>0</v>
      </c>
      <c r="H16" s="100">
        <v>0</v>
      </c>
      <c r="I16" s="102">
        <v>0</v>
      </c>
      <c r="J16" s="104">
        <f t="shared" si="0"/>
        <v>0</v>
      </c>
      <c r="K16" s="105">
        <f t="shared" si="1"/>
        <v>0</v>
      </c>
    </row>
    <row r="17" spans="1:12" x14ac:dyDescent="0.3">
      <c r="A17" s="751"/>
      <c r="B17" s="98" t="s">
        <v>7508</v>
      </c>
      <c r="C17" s="106">
        <v>60</v>
      </c>
      <c r="D17" s="107">
        <v>0</v>
      </c>
      <c r="E17" s="108">
        <v>60</v>
      </c>
      <c r="F17" s="109">
        <f>D17+E17-C17</f>
        <v>0</v>
      </c>
      <c r="G17" s="110">
        <v>0</v>
      </c>
      <c r="H17" s="107">
        <v>0</v>
      </c>
      <c r="I17" s="109">
        <v>0</v>
      </c>
      <c r="J17" s="111">
        <f t="shared" si="0"/>
        <v>0</v>
      </c>
      <c r="K17" s="112">
        <f t="shared" si="1"/>
        <v>0</v>
      </c>
    </row>
    <row r="18" spans="1:12" x14ac:dyDescent="0.3">
      <c r="A18" s="752"/>
      <c r="B18" s="113" t="s">
        <v>7511</v>
      </c>
      <c r="C18" s="114">
        <f>SUM(C16:C17)</f>
        <v>160</v>
      </c>
      <c r="D18" s="115">
        <f>SUM(D16:D17)</f>
        <v>0</v>
      </c>
      <c r="E18" s="116">
        <f>SUM(E16:E17)</f>
        <v>160</v>
      </c>
      <c r="F18" s="117">
        <f>SUM(F16:F17)</f>
        <v>0</v>
      </c>
      <c r="G18" s="118">
        <f t="shared" ref="G18:K18" si="9">SUM(G16:G17)</f>
        <v>0</v>
      </c>
      <c r="H18" s="119">
        <f t="shared" si="9"/>
        <v>0</v>
      </c>
      <c r="I18" s="117">
        <f t="shared" si="9"/>
        <v>0</v>
      </c>
      <c r="J18" s="119">
        <f t="shared" si="9"/>
        <v>0</v>
      </c>
      <c r="K18" s="120">
        <f t="shared" si="9"/>
        <v>0</v>
      </c>
      <c r="L18" s="84"/>
    </row>
    <row r="19" spans="1:12" ht="27" thickBot="1" x14ac:dyDescent="0.35">
      <c r="A19" s="44"/>
      <c r="B19" s="46" t="s">
        <v>7443</v>
      </c>
      <c r="C19" s="75" t="e">
        <f>SUM(C6,C11,C15,C18,#REF!,C13)</f>
        <v>#REF!</v>
      </c>
      <c r="D19" s="75" t="e">
        <f>SUM(D6,D11,D15,D18,#REF!,D13)</f>
        <v>#REF!</v>
      </c>
      <c r="E19" s="75" t="e">
        <f>SUM(E6,E11,E15,E18,#REF!,E13)</f>
        <v>#REF!</v>
      </c>
      <c r="F19" s="75" t="e">
        <f>SUM(F6,F11,F15,F18,#REF!,F13)</f>
        <v>#REF!</v>
      </c>
      <c r="G19" s="75" t="e">
        <f>SUM(G6,G11,G15,G18,#REF!,G13)</f>
        <v>#REF!</v>
      </c>
      <c r="H19" s="75" t="e">
        <f>SUM(H6,H11,H15,H18,#REF!,H13)</f>
        <v>#REF!</v>
      </c>
      <c r="I19" s="75" t="e">
        <f>SUM(I6,I11,I15,I18,#REF!,I13)</f>
        <v>#REF!</v>
      </c>
      <c r="J19" s="75" t="e">
        <f>SUM(J6,J11,J15,J18,#REF!,J13)</f>
        <v>#REF!</v>
      </c>
      <c r="K19" s="75" t="e">
        <f>SUM(K6,K11,K15,K18,#REF!,K13)</f>
        <v>#REF!</v>
      </c>
    </row>
  </sheetData>
  <mergeCells count="9">
    <mergeCell ref="A16:A18"/>
    <mergeCell ref="A1:A2"/>
    <mergeCell ref="B1:B2"/>
    <mergeCell ref="C1:F1"/>
    <mergeCell ref="G1:K1"/>
    <mergeCell ref="A3:A6"/>
    <mergeCell ref="A7:A11"/>
    <mergeCell ref="A12:A13"/>
    <mergeCell ref="A14:A15"/>
  </mergeCell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sheetPr>
  <dimension ref="A1:AB33"/>
  <sheetViews>
    <sheetView topLeftCell="B1" zoomScale="75" workbookViewId="0">
      <pane ySplit="2" topLeftCell="A4" activePane="bottomLeft" state="frozen"/>
      <selection activeCell="O14" sqref="O14"/>
      <selection pane="bottomLeft" activeCell="L7" sqref="L7"/>
    </sheetView>
  </sheetViews>
  <sheetFormatPr baseColWidth="10" defaultColWidth="10.83203125" defaultRowHeight="15" x14ac:dyDescent="0.2"/>
  <cols>
    <col min="1" max="1" width="18.5" bestFit="1" customWidth="1"/>
    <col min="2" max="2" width="59.6640625" customWidth="1"/>
    <col min="3" max="3" width="25.6640625" customWidth="1"/>
    <col min="4" max="4" width="13.33203125" customWidth="1"/>
    <col min="5" max="5" width="17.6640625" customWidth="1"/>
    <col min="6" max="6" width="30.5" customWidth="1"/>
    <col min="7" max="10" width="25.83203125" customWidth="1"/>
    <col min="11" max="11" width="29.33203125" customWidth="1"/>
    <col min="12" max="13" width="25.83203125" customWidth="1"/>
  </cols>
  <sheetData>
    <row r="1" spans="1:28" s="4" customFormat="1" ht="21" customHeight="1" x14ac:dyDescent="0.25">
      <c r="A1" s="677" t="s">
        <v>7347</v>
      </c>
      <c r="B1" s="676" t="s">
        <v>348</v>
      </c>
      <c r="C1" s="674" t="s">
        <v>7348</v>
      </c>
      <c r="D1" s="674"/>
      <c r="E1" s="674"/>
      <c r="F1" s="674"/>
      <c r="G1" s="674"/>
      <c r="H1" s="674"/>
      <c r="I1" s="675" t="s">
        <v>7503</v>
      </c>
      <c r="J1" s="675"/>
      <c r="K1" s="675"/>
      <c r="L1" s="675"/>
      <c r="M1" s="675"/>
      <c r="N1" s="5"/>
      <c r="O1" s="5"/>
      <c r="P1" s="5"/>
      <c r="Q1" s="5"/>
      <c r="R1" s="5"/>
      <c r="S1" s="5"/>
      <c r="T1" s="5"/>
      <c r="U1" s="5"/>
      <c r="V1" s="5"/>
      <c r="W1" s="5"/>
      <c r="X1" s="5"/>
      <c r="Y1" s="5"/>
      <c r="Z1" s="5"/>
      <c r="AA1" s="5"/>
      <c r="AB1" s="5"/>
    </row>
    <row r="2" spans="1:28" ht="26" customHeight="1" x14ac:dyDescent="0.25">
      <c r="A2" s="677"/>
      <c r="B2" s="701"/>
      <c r="C2" s="314" t="s">
        <v>7350</v>
      </c>
      <c r="D2" s="315" t="s">
        <v>7351</v>
      </c>
      <c r="E2" s="316" t="s">
        <v>7352</v>
      </c>
      <c r="F2" s="317" t="s">
        <v>7353</v>
      </c>
      <c r="G2" s="318" t="s">
        <v>7458</v>
      </c>
      <c r="H2" s="308" t="s">
        <v>7355</v>
      </c>
      <c r="I2" s="309" t="s">
        <v>7350</v>
      </c>
      <c r="J2" s="310" t="s">
        <v>7353</v>
      </c>
      <c r="K2" s="313" t="s">
        <v>7458</v>
      </c>
      <c r="L2" s="311" t="s">
        <v>7355</v>
      </c>
      <c r="M2" s="312" t="s">
        <v>7651</v>
      </c>
    </row>
    <row r="3" spans="1:28" ht="27" customHeight="1" x14ac:dyDescent="0.3">
      <c r="A3" s="775" t="s">
        <v>7652</v>
      </c>
      <c r="B3" s="191" t="s">
        <v>7653</v>
      </c>
      <c r="C3" s="159">
        <v>1400</v>
      </c>
      <c r="D3" s="158">
        <v>0</v>
      </c>
      <c r="E3" s="159">
        <v>0</v>
      </c>
      <c r="F3" s="616">
        <v>1400</v>
      </c>
      <c r="G3" s="159">
        <v>0</v>
      </c>
      <c r="H3" s="496">
        <f t="shared" ref="H3:H6" si="0">F3+G3-C3</f>
        <v>0</v>
      </c>
      <c r="I3" s="148">
        <f>SUMIFS('Cashbook ING'!$B:$B, 'Cashbook ING'!$A:$A, "AMSUnlocked_Investment")</f>
        <v>-3400</v>
      </c>
      <c r="J3" s="148">
        <v>0</v>
      </c>
      <c r="K3" s="148">
        <v>0</v>
      </c>
      <c r="L3" s="615">
        <f>J3+K3+I3</f>
        <v>-3400</v>
      </c>
      <c r="M3" s="171">
        <f>L3-H3</f>
        <v>-3400</v>
      </c>
    </row>
    <row r="4" spans="1:28" ht="27" customHeight="1" x14ac:dyDescent="0.3">
      <c r="A4" s="775"/>
      <c r="B4" s="191" t="s">
        <v>7654</v>
      </c>
      <c r="C4" s="616">
        <v>2000</v>
      </c>
      <c r="D4" s="158">
        <v>0</v>
      </c>
      <c r="E4" s="159">
        <v>0</v>
      </c>
      <c r="F4" s="616">
        <v>2000</v>
      </c>
      <c r="G4" s="159">
        <v>0</v>
      </c>
      <c r="H4" s="206">
        <f t="shared" si="0"/>
        <v>0</v>
      </c>
      <c r="I4" s="148">
        <f>SUMIFS('Cashbook ING'!$B:$B, 'Cashbook ING'!$A:$A, "AMSUnlocked_Unforeseen")</f>
        <v>0</v>
      </c>
      <c r="J4" s="148">
        <v>0</v>
      </c>
      <c r="K4" s="148">
        <v>0</v>
      </c>
      <c r="L4" s="615">
        <f>J4+K4+I4</f>
        <v>0</v>
      </c>
      <c r="M4" s="171">
        <f>L4-H4</f>
        <v>0</v>
      </c>
    </row>
    <row r="5" spans="1:28" ht="27" customHeight="1" x14ac:dyDescent="0.3">
      <c r="A5" s="775"/>
      <c r="B5" s="191" t="s">
        <v>7638</v>
      </c>
      <c r="C5" s="159">
        <v>0</v>
      </c>
      <c r="D5" s="158">
        <v>0</v>
      </c>
      <c r="E5" s="159">
        <v>0</v>
      </c>
      <c r="F5" s="159">
        <v>0</v>
      </c>
      <c r="G5" s="159">
        <v>0</v>
      </c>
      <c r="H5" s="206">
        <f t="shared" si="0"/>
        <v>0</v>
      </c>
      <c r="I5" s="148">
        <f>SUMIFS('Cashbook ING'!$B:$B, 'Cashbook ING'!$A:$A, "AMSUnlocked_Liquidity")</f>
        <v>0</v>
      </c>
      <c r="J5" s="148">
        <v>0</v>
      </c>
      <c r="K5" s="148">
        <v>0</v>
      </c>
      <c r="L5" s="615">
        <f t="shared" ref="L5" si="1">J5+K5+I5</f>
        <v>0</v>
      </c>
      <c r="M5" s="171">
        <f>L5-H5</f>
        <v>0</v>
      </c>
    </row>
    <row r="6" spans="1:28" ht="27" customHeight="1" x14ac:dyDescent="0.3">
      <c r="A6" s="775"/>
      <c r="B6" s="191" t="s">
        <v>7655</v>
      </c>
      <c r="C6" s="159">
        <v>0</v>
      </c>
      <c r="D6" s="158">
        <v>0</v>
      </c>
      <c r="E6" s="159">
        <v>0</v>
      </c>
      <c r="F6" s="159">
        <v>0</v>
      </c>
      <c r="G6" s="159">
        <v>0</v>
      </c>
      <c r="H6" s="207">
        <f t="shared" si="0"/>
        <v>0</v>
      </c>
      <c r="I6" s="159">
        <v>0</v>
      </c>
      <c r="J6" s="148">
        <f>SUMIFS('Cashbook ING'!$B:$B, 'Cashbook ING'!$A:$A, "AMSUnlocked_Return")</f>
        <v>4143.92</v>
      </c>
      <c r="K6" s="148">
        <v>0</v>
      </c>
      <c r="L6" s="615">
        <f>I6+K6+J6</f>
        <v>4143.92</v>
      </c>
      <c r="M6" s="171">
        <f>L6-H6</f>
        <v>4143.92</v>
      </c>
    </row>
    <row r="7" spans="1:28" ht="27" customHeight="1" x14ac:dyDescent="0.3">
      <c r="A7" s="453"/>
      <c r="B7" s="489" t="s">
        <v>7511</v>
      </c>
      <c r="C7" s="454">
        <f>SUM(C3:C6)</f>
        <v>3400</v>
      </c>
      <c r="D7" s="455">
        <f>SUM(D3:D6)</f>
        <v>0</v>
      </c>
      <c r="E7" s="454">
        <f>SUM(E3:E6)</f>
        <v>0</v>
      </c>
      <c r="F7" s="454">
        <f>SUM(F3:F6)</f>
        <v>3400</v>
      </c>
      <c r="G7" s="454">
        <f t="shared" ref="G7:K7" si="2">SUM(G3:G6)</f>
        <v>0</v>
      </c>
      <c r="H7" s="456">
        <f>SUM(H3:H6)</f>
        <v>0</v>
      </c>
      <c r="I7" s="454">
        <f t="shared" si="2"/>
        <v>-3400</v>
      </c>
      <c r="J7" s="454">
        <f>SUM(J3:J6)</f>
        <v>4143.92</v>
      </c>
      <c r="K7" s="454">
        <f t="shared" si="2"/>
        <v>0</v>
      </c>
      <c r="L7" s="456">
        <f>SUM(L3:L6)</f>
        <v>743.92000000000007</v>
      </c>
      <c r="M7" s="456">
        <f>SUM(M3:M6)</f>
        <v>743.92000000000007</v>
      </c>
    </row>
    <row r="10" spans="1:28" x14ac:dyDescent="0.2">
      <c r="A10" s="771"/>
      <c r="B10" s="772"/>
      <c r="C10" s="772"/>
      <c r="D10" s="772"/>
      <c r="E10" s="772"/>
      <c r="F10" s="772"/>
      <c r="G10" s="772"/>
      <c r="H10" s="772"/>
      <c r="U10" s="774"/>
      <c r="V10" s="772"/>
      <c r="W10" s="772"/>
      <c r="X10" s="772"/>
    </row>
    <row r="11" spans="1:28" x14ac:dyDescent="0.2">
      <c r="A11" s="771"/>
      <c r="B11" s="773"/>
      <c r="C11" s="773"/>
      <c r="D11" s="773"/>
      <c r="E11" s="771"/>
      <c r="F11" s="773"/>
      <c r="G11" s="773"/>
      <c r="H11" s="773"/>
      <c r="U11" s="381"/>
      <c r="V11" s="382"/>
      <c r="W11" s="382"/>
      <c r="X11" s="382"/>
    </row>
    <row r="12" spans="1:28" x14ac:dyDescent="0.2">
      <c r="A12" s="381"/>
      <c r="B12" s="382"/>
      <c r="C12" s="382"/>
      <c r="D12" s="382"/>
      <c r="E12" s="381"/>
      <c r="F12" s="381"/>
      <c r="G12" s="381"/>
      <c r="H12" s="381"/>
      <c r="U12" s="383"/>
      <c r="V12" s="384"/>
      <c r="W12" s="384"/>
      <c r="X12" s="384"/>
    </row>
    <row r="13" spans="1:28" x14ac:dyDescent="0.2">
      <c r="A13" s="383"/>
      <c r="B13" s="384"/>
      <c r="C13" s="385"/>
      <c r="D13" s="385"/>
      <c r="E13" s="383"/>
      <c r="F13" s="384"/>
      <c r="G13" s="385"/>
      <c r="H13" s="385"/>
      <c r="U13" s="383"/>
      <c r="V13" s="384"/>
      <c r="W13" s="384"/>
      <c r="X13" s="384"/>
    </row>
    <row r="14" spans="1:28" x14ac:dyDescent="0.2">
      <c r="A14" s="383"/>
      <c r="B14" s="384"/>
      <c r="C14" s="385"/>
      <c r="D14" s="385"/>
      <c r="E14" s="383"/>
      <c r="F14" s="385"/>
      <c r="G14" s="385"/>
      <c r="H14" s="385"/>
      <c r="U14" s="383"/>
      <c r="V14" s="384"/>
      <c r="W14" s="384"/>
      <c r="X14" s="384"/>
    </row>
    <row r="15" spans="1:28" x14ac:dyDescent="0.2">
      <c r="A15" s="383"/>
      <c r="B15" s="384"/>
      <c r="C15" s="385"/>
      <c r="D15" s="385"/>
      <c r="E15" s="383"/>
      <c r="F15" s="385"/>
      <c r="G15" s="385"/>
      <c r="H15" s="385"/>
      <c r="U15" s="383"/>
      <c r="V15" s="384"/>
      <c r="W15" s="384"/>
      <c r="X15" s="384"/>
    </row>
    <row r="16" spans="1:28" x14ac:dyDescent="0.2">
      <c r="A16" s="383"/>
      <c r="B16" s="384"/>
      <c r="C16" s="385"/>
      <c r="D16" s="385"/>
      <c r="E16" s="383"/>
      <c r="F16" s="385"/>
      <c r="G16" s="385"/>
      <c r="H16" s="385"/>
      <c r="U16" s="383"/>
      <c r="V16" s="384"/>
      <c r="W16" s="384"/>
      <c r="X16" s="384"/>
    </row>
    <row r="17" spans="1:24" x14ac:dyDescent="0.2">
      <c r="A17" s="383"/>
      <c r="B17" s="384"/>
      <c r="C17" s="385"/>
      <c r="D17" s="385"/>
      <c r="E17" s="383"/>
      <c r="F17" s="385"/>
      <c r="G17" s="385"/>
      <c r="H17" s="385"/>
      <c r="U17" s="381"/>
      <c r="V17" s="384"/>
      <c r="W17" s="384"/>
      <c r="X17" s="384"/>
    </row>
    <row r="18" spans="1:24" x14ac:dyDescent="0.2">
      <c r="A18" s="383"/>
      <c r="B18" s="384"/>
      <c r="C18" s="385"/>
      <c r="D18" s="385"/>
      <c r="E18" s="383"/>
      <c r="F18" s="385"/>
      <c r="G18" s="385"/>
      <c r="H18" s="385"/>
    </row>
    <row r="19" spans="1:24" x14ac:dyDescent="0.2">
      <c r="A19" s="383"/>
      <c r="B19" s="384"/>
      <c r="C19" s="385"/>
      <c r="D19" s="385"/>
      <c r="E19" s="383"/>
      <c r="F19" s="385"/>
      <c r="G19" s="385"/>
      <c r="H19" s="385"/>
    </row>
    <row r="20" spans="1:24" x14ac:dyDescent="0.2">
      <c r="A20" s="383"/>
      <c r="B20" s="384"/>
      <c r="C20" s="385"/>
      <c r="D20" s="385"/>
      <c r="E20" s="383"/>
      <c r="F20" s="385"/>
      <c r="G20" s="385"/>
      <c r="H20" s="385"/>
    </row>
    <row r="21" spans="1:24" x14ac:dyDescent="0.2">
      <c r="A21" s="383"/>
      <c r="B21" s="384"/>
      <c r="C21" s="385"/>
      <c r="D21" s="385"/>
      <c r="E21" s="383"/>
      <c r="F21" s="385"/>
      <c r="G21" s="385"/>
      <c r="H21" s="385"/>
    </row>
    <row r="22" spans="1:24" x14ac:dyDescent="0.2">
      <c r="A22" s="383"/>
      <c r="B22" s="384"/>
      <c r="C22" s="385"/>
      <c r="D22" s="385"/>
      <c r="E22" s="383"/>
      <c r="F22" s="385"/>
      <c r="G22" s="385"/>
      <c r="H22" s="385"/>
    </row>
    <row r="23" spans="1:24" x14ac:dyDescent="0.2">
      <c r="A23" s="383"/>
      <c r="B23" s="384"/>
      <c r="C23" s="385"/>
      <c r="D23" s="385"/>
      <c r="E23" s="383"/>
      <c r="F23" s="385"/>
      <c r="G23" s="385"/>
      <c r="H23" s="385"/>
    </row>
    <row r="24" spans="1:24" x14ac:dyDescent="0.2">
      <c r="A24" s="383"/>
      <c r="B24" s="384"/>
      <c r="C24" s="385"/>
      <c r="D24" s="385"/>
      <c r="E24" s="383"/>
      <c r="F24" s="385"/>
      <c r="G24" s="385"/>
      <c r="H24" s="385"/>
    </row>
    <row r="25" spans="1:24" x14ac:dyDescent="0.2">
      <c r="A25" s="383"/>
      <c r="B25" s="384"/>
      <c r="C25" s="385"/>
      <c r="D25" s="385"/>
      <c r="E25" s="383"/>
      <c r="F25" s="385"/>
      <c r="G25" s="385"/>
      <c r="H25" s="385"/>
    </row>
    <row r="26" spans="1:24" x14ac:dyDescent="0.2">
      <c r="A26" s="383"/>
      <c r="B26" s="384"/>
      <c r="C26" s="385"/>
      <c r="D26" s="385"/>
      <c r="E26" s="383"/>
      <c r="F26" s="385"/>
      <c r="G26" s="385"/>
      <c r="H26" s="385"/>
    </row>
    <row r="27" spans="1:24" x14ac:dyDescent="0.2">
      <c r="A27" s="383"/>
      <c r="B27" s="384"/>
      <c r="C27" s="385"/>
      <c r="D27" s="385"/>
      <c r="E27" s="383"/>
      <c r="F27" s="385"/>
      <c r="G27" s="385"/>
      <c r="H27" s="385"/>
    </row>
    <row r="28" spans="1:24" x14ac:dyDescent="0.2">
      <c r="A28" s="383"/>
      <c r="B28" s="384"/>
      <c r="C28" s="385"/>
      <c r="D28" s="385"/>
      <c r="E28" s="383"/>
      <c r="F28" s="385"/>
      <c r="G28" s="385"/>
      <c r="H28" s="385"/>
    </row>
    <row r="29" spans="1:24" x14ac:dyDescent="0.2">
      <c r="A29" s="383"/>
      <c r="B29" s="384"/>
      <c r="C29" s="385"/>
      <c r="D29" s="385"/>
      <c r="E29" s="383"/>
      <c r="F29" s="385"/>
      <c r="G29" s="385"/>
      <c r="H29" s="385"/>
    </row>
    <row r="30" spans="1:24" x14ac:dyDescent="0.2">
      <c r="A30" s="383"/>
      <c r="B30" s="384"/>
      <c r="C30" s="385"/>
      <c r="D30" s="385"/>
      <c r="E30" s="383"/>
      <c r="F30" s="385"/>
      <c r="G30" s="385"/>
      <c r="H30" s="385"/>
    </row>
    <row r="31" spans="1:24" ht="26" customHeight="1" x14ac:dyDescent="0.2">
      <c r="A31" s="383"/>
      <c r="B31" s="384"/>
      <c r="C31" s="385"/>
      <c r="D31" s="385"/>
      <c r="E31" s="383"/>
      <c r="F31" s="385"/>
      <c r="G31" s="385"/>
      <c r="H31" s="385"/>
    </row>
    <row r="32" spans="1:24" x14ac:dyDescent="0.2">
      <c r="A32" s="383"/>
      <c r="B32" s="384"/>
      <c r="C32" s="385"/>
      <c r="D32" s="385"/>
      <c r="E32" s="383"/>
      <c r="F32" s="385"/>
      <c r="G32" s="385"/>
      <c r="H32" s="385"/>
    </row>
    <row r="33" spans="1:8" x14ac:dyDescent="0.2">
      <c r="A33" s="381"/>
      <c r="B33" s="385"/>
      <c r="C33" s="385"/>
      <c r="D33" s="386"/>
      <c r="E33" s="383"/>
      <c r="F33" s="385"/>
      <c r="G33" s="385"/>
      <c r="H33" s="386"/>
    </row>
  </sheetData>
  <mergeCells count="9">
    <mergeCell ref="A10:H10"/>
    <mergeCell ref="A11:D11"/>
    <mergeCell ref="E11:H11"/>
    <mergeCell ref="I1:M1"/>
    <mergeCell ref="U10:X10"/>
    <mergeCell ref="A3:A6"/>
    <mergeCell ref="C1:H1"/>
    <mergeCell ref="B1:B2"/>
    <mergeCell ref="A1:A2"/>
  </mergeCells>
  <conditionalFormatting sqref="A1:C1 I1:XFD1 A2 H2 L2:M6 B5:L6">
    <cfRule type="cellIs" dxfId="7" priority="1" operator="lessThan">
      <formula>0</formula>
    </cfRule>
  </conditionalFormatting>
  <conditionalFormatting sqref="A3:K4 B7:M7">
    <cfRule type="cellIs" dxfId="6" priority="3" operator="lessThan">
      <formula>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03DF-657D-42BF-9BB1-0A986C12D055}">
  <dimension ref="A1:M6"/>
  <sheetViews>
    <sheetView zoomScaleNormal="100" workbookViewId="0">
      <selection activeCell="K5" sqref="K5"/>
    </sheetView>
  </sheetViews>
  <sheetFormatPr baseColWidth="10" defaultColWidth="8.83203125" defaultRowHeight="15" x14ac:dyDescent="0.2"/>
  <cols>
    <col min="1" max="1" width="26.33203125" customWidth="1"/>
    <col min="2" max="2" width="36.83203125" customWidth="1"/>
    <col min="3" max="3" width="25" customWidth="1"/>
    <col min="4" max="4" width="11.5" customWidth="1"/>
    <col min="5" max="5" width="14.6640625" customWidth="1"/>
    <col min="6" max="6" width="18.6640625" customWidth="1"/>
    <col min="7" max="8" width="18.83203125" customWidth="1"/>
    <col min="9" max="9" width="18.1640625" customWidth="1"/>
    <col min="10" max="10" width="15" customWidth="1"/>
    <col min="11" max="11" width="22" customWidth="1"/>
    <col min="12" max="12" width="19.83203125" customWidth="1"/>
    <col min="13" max="13" width="22.33203125" customWidth="1"/>
  </cols>
  <sheetData>
    <row r="1" spans="1:13" ht="25" x14ac:dyDescent="0.25">
      <c r="A1" s="677" t="s">
        <v>7347</v>
      </c>
      <c r="B1" s="676" t="s">
        <v>348</v>
      </c>
      <c r="C1" s="674" t="s">
        <v>7348</v>
      </c>
      <c r="D1" s="674"/>
      <c r="E1" s="674"/>
      <c r="F1" s="674"/>
      <c r="G1" s="674"/>
      <c r="H1" s="674"/>
      <c r="I1" s="675" t="s">
        <v>7503</v>
      </c>
      <c r="J1" s="675"/>
      <c r="K1" s="675"/>
      <c r="L1" s="675"/>
      <c r="M1" s="675"/>
    </row>
    <row r="2" spans="1:13" ht="25" x14ac:dyDescent="0.25">
      <c r="A2" s="677"/>
      <c r="B2" s="701"/>
      <c r="C2" s="314" t="s">
        <v>7350</v>
      </c>
      <c r="D2" s="315" t="s">
        <v>7351</v>
      </c>
      <c r="E2" s="316" t="s">
        <v>7352</v>
      </c>
      <c r="F2" s="317" t="s">
        <v>7353</v>
      </c>
      <c r="G2" s="318" t="s">
        <v>7458</v>
      </c>
      <c r="H2" s="308" t="s">
        <v>7355</v>
      </c>
      <c r="I2" s="309" t="s">
        <v>7350</v>
      </c>
      <c r="J2" s="310" t="s">
        <v>7353</v>
      </c>
      <c r="K2" s="313" t="s">
        <v>7458</v>
      </c>
      <c r="L2" s="311" t="s">
        <v>7355</v>
      </c>
      <c r="M2" s="312" t="s">
        <v>7459</v>
      </c>
    </row>
    <row r="3" spans="1:13" ht="26" x14ac:dyDescent="0.3">
      <c r="A3" s="776" t="s">
        <v>7656</v>
      </c>
      <c r="B3" s="189" t="s">
        <v>7657</v>
      </c>
      <c r="C3" s="155">
        <v>340</v>
      </c>
      <c r="D3" s="154">
        <v>0</v>
      </c>
      <c r="E3" s="155">
        <v>0</v>
      </c>
      <c r="F3" s="155">
        <v>0</v>
      </c>
      <c r="G3" s="503">
        <v>340</v>
      </c>
      <c r="H3" s="626">
        <f>F3+G3-C3</f>
        <v>0</v>
      </c>
      <c r="I3" s="155">
        <f>SUMIFS('Cashbook ING'!$B:$B, 'Cashbook ING'!$A:$A, "AIMClubs_MusicTaskForce_RoomRental")</f>
        <v>-142.5</v>
      </c>
      <c r="J3" s="155">
        <v>0</v>
      </c>
      <c r="K3" s="155">
        <v>0</v>
      </c>
      <c r="L3" s="189">
        <f>IF(I3 &lt; G3, 0) + IF(-I3 &gt; G3, I3 - -G3) + IF(I3 = G3, 0)</f>
        <v>0</v>
      </c>
      <c r="M3" s="191">
        <f>L3-H3</f>
        <v>0</v>
      </c>
    </row>
    <row r="4" spans="1:13" ht="26" x14ac:dyDescent="0.3">
      <c r="A4" s="777"/>
      <c r="B4" s="191" t="s">
        <v>7508</v>
      </c>
      <c r="C4" s="159">
        <v>60</v>
      </c>
      <c r="D4" s="158">
        <v>0</v>
      </c>
      <c r="E4" s="159">
        <v>0</v>
      </c>
      <c r="F4" s="159">
        <v>0</v>
      </c>
      <c r="G4" s="616">
        <v>60</v>
      </c>
      <c r="H4" s="439">
        <f>F4+G4-C4</f>
        <v>0</v>
      </c>
      <c r="I4" s="159">
        <f>SUMIFS('Cashbook ING'!$B:$B, 'Cashbook ING'!$A:$A, "AIMClubs_MusicTaskForce_Snacks")</f>
        <v>-27.06</v>
      </c>
      <c r="J4" s="159">
        <v>0</v>
      </c>
      <c r="K4" s="159">
        <v>0</v>
      </c>
      <c r="L4" s="191">
        <v>0</v>
      </c>
      <c r="M4" s="191">
        <f>L4-H4</f>
        <v>0</v>
      </c>
    </row>
    <row r="5" spans="1:13" ht="26" x14ac:dyDescent="0.3">
      <c r="A5" s="777"/>
      <c r="B5" s="191" t="s">
        <v>7638</v>
      </c>
      <c r="C5" s="159">
        <v>0</v>
      </c>
      <c r="D5" s="158">
        <v>0</v>
      </c>
      <c r="E5" s="159">
        <v>0</v>
      </c>
      <c r="F5" s="159">
        <f>E5*D5</f>
        <v>0</v>
      </c>
      <c r="G5" s="159">
        <v>0</v>
      </c>
      <c r="H5" s="439">
        <f t="shared" ref="H5" si="0">F5+G5-C5</f>
        <v>0</v>
      </c>
      <c r="I5" s="159">
        <v>0</v>
      </c>
      <c r="J5" s="159">
        <f>SUMIFS('Cashbook Wix'!$B$2:$B$7012,'Cashbook Wix'!$A$2:$A$7012,"AIMTeams")</f>
        <v>0</v>
      </c>
      <c r="K5" s="159">
        <v>0</v>
      </c>
      <c r="L5" s="191">
        <f>J5+K5+I5</f>
        <v>0</v>
      </c>
      <c r="M5" s="191">
        <f>L5-H5</f>
        <v>0</v>
      </c>
    </row>
    <row r="6" spans="1:13" ht="26" x14ac:dyDescent="0.3">
      <c r="A6" s="778"/>
      <c r="B6" s="436" t="s">
        <v>7511</v>
      </c>
      <c r="C6" s="437">
        <f t="shared" ref="C6:H6" si="1">SUM(C3:C5)</f>
        <v>400</v>
      </c>
      <c r="D6" s="438">
        <f t="shared" si="1"/>
        <v>0</v>
      </c>
      <c r="E6" s="437">
        <f t="shared" si="1"/>
        <v>0</v>
      </c>
      <c r="F6" s="437">
        <f t="shared" si="1"/>
        <v>0</v>
      </c>
      <c r="G6" s="437">
        <f t="shared" si="1"/>
        <v>400</v>
      </c>
      <c r="H6" s="436">
        <f t="shared" si="1"/>
        <v>0</v>
      </c>
      <c r="I6" s="437">
        <f>SUM(I3:I5)</f>
        <v>-169.56</v>
      </c>
      <c r="J6" s="437">
        <f>SUM(J3:J5)</f>
        <v>0</v>
      </c>
      <c r="K6" s="437">
        <f>SUM(K3:K5)</f>
        <v>0</v>
      </c>
      <c r="L6" s="436">
        <f>SUM(L3:L5)</f>
        <v>0</v>
      </c>
      <c r="M6" s="436">
        <f>SUM(M3:M5)</f>
        <v>0</v>
      </c>
    </row>
  </sheetData>
  <mergeCells count="5">
    <mergeCell ref="A1:A2"/>
    <mergeCell ref="B1:B2"/>
    <mergeCell ref="C1:H1"/>
    <mergeCell ref="I1:M1"/>
    <mergeCell ref="A3:A6"/>
  </mergeCells>
  <conditionalFormatting sqref="A1:C1 I1:M1 A2 H2 L2:M2 B3:M6">
    <cfRule type="cellIs" dxfId="5" priority="1" operator="lessThan">
      <formula>0</formula>
    </cfRule>
  </conditionalFormatting>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DE4FF"/>
  </sheetPr>
  <dimension ref="A1:M13"/>
  <sheetViews>
    <sheetView zoomScale="64" workbookViewId="0">
      <pane xSplit="1" ySplit="2" topLeftCell="B4" activePane="bottomRight" state="frozen"/>
      <selection pane="topRight" activeCell="B1" sqref="B1"/>
      <selection pane="bottomLeft" activeCell="A3" sqref="A3"/>
      <selection pane="bottomRight" activeCell="K7" sqref="K7"/>
    </sheetView>
  </sheetViews>
  <sheetFormatPr baseColWidth="10" defaultColWidth="10.83203125" defaultRowHeight="26.25" customHeight="1" x14ac:dyDescent="0.3"/>
  <cols>
    <col min="1" max="1" width="27.83203125" style="9" customWidth="1"/>
    <col min="2" max="2" width="42.5" style="9" customWidth="1"/>
    <col min="3" max="3" width="25.83203125" style="9" customWidth="1"/>
    <col min="4" max="4" width="17.83203125" style="9" customWidth="1"/>
    <col min="5" max="13" width="25.83203125" style="9" customWidth="1"/>
    <col min="14" max="16384" width="10.83203125" style="9"/>
  </cols>
  <sheetData>
    <row r="1" spans="1:13" ht="26.25" customHeight="1" x14ac:dyDescent="0.3">
      <c r="A1" s="677" t="s">
        <v>7347</v>
      </c>
      <c r="B1" s="676" t="s">
        <v>348</v>
      </c>
      <c r="C1" s="674" t="s">
        <v>7348</v>
      </c>
      <c r="D1" s="674"/>
      <c r="E1" s="674"/>
      <c r="F1" s="674"/>
      <c r="G1" s="674"/>
      <c r="H1" s="674"/>
      <c r="I1" s="675" t="s">
        <v>7503</v>
      </c>
      <c r="J1" s="675"/>
      <c r="K1" s="675"/>
      <c r="L1" s="675"/>
      <c r="M1" s="675"/>
    </row>
    <row r="2" spans="1:13" ht="26.25" customHeight="1" x14ac:dyDescent="0.3">
      <c r="A2" s="677"/>
      <c r="B2" s="701"/>
      <c r="C2" s="314" t="s">
        <v>7350</v>
      </c>
      <c r="D2" s="315" t="s">
        <v>7351</v>
      </c>
      <c r="E2" s="316" t="s">
        <v>7352</v>
      </c>
      <c r="F2" s="317" t="s">
        <v>7353</v>
      </c>
      <c r="G2" s="318" t="s">
        <v>7458</v>
      </c>
      <c r="H2" s="308" t="s">
        <v>7355</v>
      </c>
      <c r="I2" s="309" t="s">
        <v>7350</v>
      </c>
      <c r="J2" s="310" t="s">
        <v>7353</v>
      </c>
      <c r="K2" s="313" t="s">
        <v>7458</v>
      </c>
      <c r="L2" s="311" t="s">
        <v>7355</v>
      </c>
      <c r="M2" s="312" t="s">
        <v>7459</v>
      </c>
    </row>
    <row r="3" spans="1:13" ht="26.25" customHeight="1" x14ac:dyDescent="0.3">
      <c r="A3" s="776" t="s">
        <v>7658</v>
      </c>
      <c r="B3" s="614" t="s">
        <v>7659</v>
      </c>
      <c r="C3" s="503">
        <v>150</v>
      </c>
      <c r="D3" s="620">
        <v>0</v>
      </c>
      <c r="E3" s="503">
        <v>0</v>
      </c>
      <c r="F3" s="503">
        <v>0</v>
      </c>
      <c r="G3" s="503">
        <v>75</v>
      </c>
      <c r="H3" s="626">
        <f>F3+G3-C3</f>
        <v>-75</v>
      </c>
      <c r="I3" s="155">
        <f>SUMIFS('Cashbook ING'!$B:$B, 'Cashbook ING'!$A:$A, "AIMTeam_Football_Expenses")</f>
        <v>0</v>
      </c>
      <c r="J3" s="155">
        <v>0</v>
      </c>
      <c r="K3" s="155">
        <v>0</v>
      </c>
      <c r="L3" s="189">
        <f>J3+K3+I3</f>
        <v>0</v>
      </c>
      <c r="M3" s="189">
        <f>L3-H3</f>
        <v>75</v>
      </c>
    </row>
    <row r="4" spans="1:13" ht="26.25" customHeight="1" x14ac:dyDescent="0.3">
      <c r="A4" s="777"/>
      <c r="B4" s="615" t="s">
        <v>7660</v>
      </c>
      <c r="C4" s="616">
        <v>0</v>
      </c>
      <c r="D4" s="617">
        <v>0</v>
      </c>
      <c r="E4" s="616">
        <v>0</v>
      </c>
      <c r="F4" s="616">
        <f>E4*D4</f>
        <v>0</v>
      </c>
      <c r="G4" s="616">
        <v>0</v>
      </c>
      <c r="H4" s="615">
        <f>F4+G4-C4</f>
        <v>0</v>
      </c>
      <c r="I4" s="159">
        <v>0</v>
      </c>
      <c r="J4" s="159">
        <f>SUMIFS('Cashbook Wix'!$B$2:$B$7012,'Cashbook Wix'!$A$2:$A$7012,"AIMTeam_Football_Ticket")</f>
        <v>0</v>
      </c>
      <c r="K4" s="159">
        <v>0</v>
      </c>
      <c r="L4" s="191">
        <f>J4+K4+I4</f>
        <v>0</v>
      </c>
      <c r="M4" s="191">
        <f>L4-H4</f>
        <v>0</v>
      </c>
    </row>
    <row r="5" spans="1:13" ht="26.25" customHeight="1" x14ac:dyDescent="0.3">
      <c r="A5" s="778"/>
      <c r="B5" s="347" t="s">
        <v>7511</v>
      </c>
      <c r="C5" s="345">
        <f t="shared" ref="C5:L5" si="0">SUM(C3:C3)</f>
        <v>150</v>
      </c>
      <c r="D5" s="346">
        <f>SUM(D3:D4)</f>
        <v>0</v>
      </c>
      <c r="E5" s="345">
        <f>SUM(E3:E4)</f>
        <v>0</v>
      </c>
      <c r="F5" s="345">
        <f>SUM(F3:F4)</f>
        <v>0</v>
      </c>
      <c r="G5" s="345">
        <f>SUM(G3:G4)</f>
        <v>75</v>
      </c>
      <c r="H5" s="347">
        <f>SUM(H3:H4)</f>
        <v>-75</v>
      </c>
      <c r="I5" s="345">
        <f t="shared" si="0"/>
        <v>0</v>
      </c>
      <c r="J5" s="345">
        <f>SUM(J3:J3)</f>
        <v>0</v>
      </c>
      <c r="K5" s="345">
        <f>SUM(K3:K3)</f>
        <v>0</v>
      </c>
      <c r="L5" s="347">
        <f t="shared" si="0"/>
        <v>0</v>
      </c>
      <c r="M5" s="347">
        <f>SUM(M3:M4)</f>
        <v>75</v>
      </c>
    </row>
    <row r="6" spans="1:13" s="358" customFormat="1" ht="26.25" customHeight="1" x14ac:dyDescent="0.3">
      <c r="A6" s="779" t="s">
        <v>7440</v>
      </c>
      <c r="B6" s="614" t="s">
        <v>7659</v>
      </c>
      <c r="C6" s="503">
        <v>800</v>
      </c>
      <c r="D6" s="620">
        <v>0</v>
      </c>
      <c r="E6" s="503">
        <v>0</v>
      </c>
      <c r="F6" s="503">
        <v>0</v>
      </c>
      <c r="G6" s="503">
        <v>800</v>
      </c>
      <c r="H6" s="627">
        <f>F6+G6-C6</f>
        <v>0</v>
      </c>
      <c r="I6" s="643">
        <f>SUMIFS('Cashbook ING'!$B:$B, 'Cashbook ING'!$A:$A, "AIMTeam_Volleyball_Expenses")</f>
        <v>-1114.5999999999999</v>
      </c>
      <c r="J6" s="155">
        <v>0</v>
      </c>
      <c r="K6" s="155">
        <v>0</v>
      </c>
      <c r="L6" s="189">
        <f>K6+J6+I6</f>
        <v>-1114.5999999999999</v>
      </c>
      <c r="M6" s="189">
        <f>L6-H6</f>
        <v>-1114.5999999999999</v>
      </c>
    </row>
    <row r="7" spans="1:13" ht="26.25" customHeight="1" x14ac:dyDescent="0.3">
      <c r="A7" s="739"/>
      <c r="B7" s="628" t="s">
        <v>7631</v>
      </c>
      <c r="C7" s="616">
        <v>0</v>
      </c>
      <c r="D7" s="617">
        <v>0</v>
      </c>
      <c r="E7" s="616">
        <v>0</v>
      </c>
      <c r="F7" s="616">
        <f t="shared" ref="F7" si="1">E7*D7</f>
        <v>0</v>
      </c>
      <c r="G7" s="616">
        <v>0</v>
      </c>
      <c r="H7" s="615">
        <f>F7+G7-C7</f>
        <v>0</v>
      </c>
      <c r="I7" s="159">
        <v>0</v>
      </c>
      <c r="J7" s="159">
        <f>SUMIFS('Cashbook Wix'!$B$2:$B$7012,'Cashbook Wix'!$A$2:$A$7012,"AIMTeam_Volleyball_Ticket")</f>
        <v>0</v>
      </c>
      <c r="K7" s="159">
        <v>0</v>
      </c>
      <c r="L7" s="191">
        <f>J7+K7+I7</f>
        <v>0</v>
      </c>
      <c r="M7" s="191">
        <f>L7-H7</f>
        <v>0</v>
      </c>
    </row>
    <row r="8" spans="1:13" ht="26.25" customHeight="1" thickBot="1" x14ac:dyDescent="0.35">
      <c r="A8" s="780"/>
      <c r="B8" s="629" t="s">
        <v>7604</v>
      </c>
      <c r="C8" s="342">
        <f>SUM(C6:C7)</f>
        <v>800</v>
      </c>
      <c r="D8" s="343">
        <f>SUM(D7:D7)</f>
        <v>0</v>
      </c>
      <c r="E8" s="342">
        <f>SUM(E6:E7)</f>
        <v>0</v>
      </c>
      <c r="F8" s="342">
        <f>SUM(F7:F7)</f>
        <v>0</v>
      </c>
      <c r="G8" s="342">
        <f t="shared" ref="G8:L8" si="2">SUM(G6:G7)</f>
        <v>800</v>
      </c>
      <c r="H8" s="344">
        <f t="shared" si="2"/>
        <v>0</v>
      </c>
      <c r="I8" s="342">
        <f>SUM(I6:I7)</f>
        <v>-1114.5999999999999</v>
      </c>
      <c r="J8" s="342">
        <f t="shared" si="2"/>
        <v>0</v>
      </c>
      <c r="K8" s="320">
        <f t="shared" si="2"/>
        <v>0</v>
      </c>
      <c r="L8" s="344">
        <f t="shared" si="2"/>
        <v>-1114.5999999999999</v>
      </c>
      <c r="M8" s="636">
        <f>SUM(M6:M7)</f>
        <v>-1114.5999999999999</v>
      </c>
    </row>
    <row r="9" spans="1:13" s="183" customFormat="1" ht="26.25" customHeight="1" thickBot="1" x14ac:dyDescent="0.4">
      <c r="A9" s="184"/>
      <c r="B9" s="435" t="s">
        <v>7661</v>
      </c>
      <c r="C9" s="433">
        <f>SUM(C5,C8)</f>
        <v>950</v>
      </c>
      <c r="D9" s="516">
        <f>SUM(D5,D8)</f>
        <v>0</v>
      </c>
      <c r="E9" s="433">
        <v>0</v>
      </c>
      <c r="F9" s="433">
        <f t="shared" ref="F9:L9" si="3">SUM(F5,F8)</f>
        <v>0</v>
      </c>
      <c r="G9" s="433">
        <f t="shared" si="3"/>
        <v>875</v>
      </c>
      <c r="H9" s="434">
        <f t="shared" si="3"/>
        <v>-75</v>
      </c>
      <c r="I9" s="433">
        <f t="shared" si="3"/>
        <v>-1114.5999999999999</v>
      </c>
      <c r="J9" s="433">
        <f t="shared" si="3"/>
        <v>0</v>
      </c>
      <c r="K9" s="433">
        <f t="shared" si="3"/>
        <v>0</v>
      </c>
      <c r="L9" s="434">
        <f t="shared" si="3"/>
        <v>-1114.5999999999999</v>
      </c>
      <c r="M9" s="434">
        <f>SUM(M5,M8)</f>
        <v>-1039.5999999999999</v>
      </c>
    </row>
    <row r="13" spans="1:13" ht="26.25" customHeight="1" x14ac:dyDescent="0.3">
      <c r="B13" s="124"/>
    </row>
  </sheetData>
  <mergeCells count="6">
    <mergeCell ref="A6:A8"/>
    <mergeCell ref="C1:H1"/>
    <mergeCell ref="I1:M1"/>
    <mergeCell ref="A3:A5"/>
    <mergeCell ref="B1:B2"/>
    <mergeCell ref="A1:A2"/>
  </mergeCells>
  <conditionalFormatting sqref="A1:C1 I1:M1 A2 H2 L2:M2">
    <cfRule type="cellIs" dxfId="4" priority="1" operator="lessThan">
      <formula>0</formula>
    </cfRule>
  </conditionalFormatting>
  <conditionalFormatting sqref="B3:M8 C9:M9">
    <cfRule type="cellIs" dxfId="3" priority="27" operator="lessThan">
      <formula>0</formula>
    </cfRule>
  </conditionalFormatting>
  <pageMargins left="0.7" right="0.7" top="0.75" bottom="0.75" header="0.3" footer="0.3"/>
  <pageSetup paperSize="9" orientation="portrait" horizontalDpi="0" verticalDpi="0"/>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249977111117893"/>
  </sheetPr>
  <dimension ref="A1:M5"/>
  <sheetViews>
    <sheetView zoomScale="61" workbookViewId="0">
      <selection activeCell="M13" sqref="M13"/>
    </sheetView>
  </sheetViews>
  <sheetFormatPr baseColWidth="10" defaultColWidth="11.5" defaultRowHeight="15" x14ac:dyDescent="0.2"/>
  <cols>
    <col min="1" max="1" width="32.5" customWidth="1"/>
    <col min="2" max="2" width="32" customWidth="1"/>
    <col min="3" max="3" width="25.83203125" customWidth="1"/>
    <col min="4" max="4" width="13.33203125" customWidth="1"/>
    <col min="5" max="13" width="25.83203125" customWidth="1"/>
  </cols>
  <sheetData>
    <row r="1" spans="1:13" ht="26" customHeight="1" x14ac:dyDescent="0.25">
      <c r="A1" s="677" t="s">
        <v>7456</v>
      </c>
      <c r="B1" s="676" t="s">
        <v>7457</v>
      </c>
      <c r="C1" s="674" t="s">
        <v>7348</v>
      </c>
      <c r="D1" s="674"/>
      <c r="E1" s="674"/>
      <c r="F1" s="674"/>
      <c r="G1" s="674"/>
      <c r="H1" s="674"/>
      <c r="I1" s="675" t="s">
        <v>7503</v>
      </c>
      <c r="J1" s="675"/>
      <c r="K1" s="675"/>
      <c r="L1" s="675"/>
      <c r="M1" s="675"/>
    </row>
    <row r="2" spans="1:13" ht="26" customHeight="1" x14ac:dyDescent="0.25">
      <c r="A2" s="677"/>
      <c r="B2" s="701"/>
      <c r="C2" s="314" t="s">
        <v>7350</v>
      </c>
      <c r="D2" s="315" t="s">
        <v>7662</v>
      </c>
      <c r="E2" s="316" t="s">
        <v>7663</v>
      </c>
      <c r="F2" s="317" t="s">
        <v>7353</v>
      </c>
      <c r="G2" s="318" t="s">
        <v>7458</v>
      </c>
      <c r="H2" s="308" t="s">
        <v>7355</v>
      </c>
      <c r="I2" s="309" t="s">
        <v>7350</v>
      </c>
      <c r="J2" s="310" t="s">
        <v>7353</v>
      </c>
      <c r="K2" s="313" t="s">
        <v>7458</v>
      </c>
      <c r="L2" s="311" t="s">
        <v>7355</v>
      </c>
      <c r="M2" s="312" t="s">
        <v>7459</v>
      </c>
    </row>
    <row r="3" spans="1:13" ht="30" customHeight="1" x14ac:dyDescent="0.3">
      <c r="A3" s="781" t="s">
        <v>7664</v>
      </c>
      <c r="B3" s="175" t="s">
        <v>7665</v>
      </c>
      <c r="C3" s="148">
        <v>0</v>
      </c>
      <c r="D3" s="524">
        <v>0</v>
      </c>
      <c r="E3" s="148">
        <v>0</v>
      </c>
      <c r="F3" s="148">
        <f>E3*D3</f>
        <v>0</v>
      </c>
      <c r="G3" s="148">
        <v>0</v>
      </c>
      <c r="H3" s="171">
        <f t="shared" ref="H3:H4" si="0">F3+G3-C3</f>
        <v>0</v>
      </c>
      <c r="I3" s="148">
        <f>SUMIFS('Cashbook ING'!$B:$B, 'Cashbook ING'!$A:$A, "Merch_Crewneck")</f>
        <v>0</v>
      </c>
      <c r="J3" s="148">
        <f>SUMIFS('Cashbook Wix'!B2:B6979,'Cashbook Wix'!A2:A6979,"MRCH_BoughtCrewneck")</f>
        <v>0</v>
      </c>
      <c r="K3" s="148">
        <v>0</v>
      </c>
      <c r="L3" s="171">
        <f>J3+K3+I3</f>
        <v>0</v>
      </c>
      <c r="M3" s="175">
        <f>L3-H3</f>
        <v>0</v>
      </c>
    </row>
    <row r="4" spans="1:13" ht="30" customHeight="1" x14ac:dyDescent="0.3">
      <c r="A4" s="781"/>
      <c r="B4" s="175" t="s">
        <v>7666</v>
      </c>
      <c r="C4" s="148">
        <v>0</v>
      </c>
      <c r="D4" s="524">
        <v>0</v>
      </c>
      <c r="E4" s="148">
        <v>0</v>
      </c>
      <c r="F4" s="148">
        <f>E4*D4</f>
        <v>0</v>
      </c>
      <c r="G4" s="148">
        <v>0</v>
      </c>
      <c r="H4" s="171">
        <f t="shared" si="0"/>
        <v>0</v>
      </c>
      <c r="I4" s="148">
        <f>SUMIFS('Cashbook ING'!$B:$B, 'Cashbook ING'!$A:$A, "Merch_Hoodie")</f>
        <v>0</v>
      </c>
      <c r="J4" s="148">
        <f>SUMIFS('Cashbook Wix'!B2:B6979,'Cashbook Wix'!A2:A6979,"MRCH_BoughtHoodie")</f>
        <v>0</v>
      </c>
      <c r="K4" s="148">
        <v>0</v>
      </c>
      <c r="L4" s="171">
        <f>J4+K4+I4</f>
        <v>0</v>
      </c>
      <c r="M4" s="171">
        <f>L4-H4</f>
        <v>0</v>
      </c>
    </row>
    <row r="5" spans="1:13" ht="30" customHeight="1" x14ac:dyDescent="0.3">
      <c r="A5" s="782"/>
      <c r="B5" s="490" t="s">
        <v>7511</v>
      </c>
      <c r="C5" s="440">
        <f>SUM(C3:C4)</f>
        <v>0</v>
      </c>
      <c r="D5" s="441">
        <f>SUM(D3:D4)</f>
        <v>0</v>
      </c>
      <c r="E5" s="440">
        <v>0</v>
      </c>
      <c r="F5" s="442">
        <f>SUM(F3:F4)</f>
        <v>0</v>
      </c>
      <c r="G5" s="442">
        <f>SUM(G3:G4)</f>
        <v>0</v>
      </c>
      <c r="H5" s="443">
        <f>SUM(H3:H4)</f>
        <v>0</v>
      </c>
      <c r="I5" s="440">
        <f>SUM(I3:I4)</f>
        <v>0</v>
      </c>
      <c r="J5" s="440">
        <f t="shared" ref="J5:L5" si="1">SUM(J3:J4)</f>
        <v>0</v>
      </c>
      <c r="K5" s="440">
        <f t="shared" si="1"/>
        <v>0</v>
      </c>
      <c r="L5" s="490">
        <f t="shared" si="1"/>
        <v>0</v>
      </c>
      <c r="M5" s="490">
        <f>SUM(M3:M4)</f>
        <v>0</v>
      </c>
    </row>
  </sheetData>
  <mergeCells count="5">
    <mergeCell ref="A1:A2"/>
    <mergeCell ref="I1:M1"/>
    <mergeCell ref="A3:A5"/>
    <mergeCell ref="C1:H1"/>
    <mergeCell ref="B1:B2"/>
  </mergeCells>
  <conditionalFormatting sqref="A1:C1 I1:M1 A2 H2 L2:M2">
    <cfRule type="cellIs" dxfId="2" priority="1" operator="lessThan">
      <formula>0</formula>
    </cfRule>
  </conditionalFormatting>
  <conditionalFormatting sqref="A3:M5">
    <cfRule type="cellIs" dxfId="1" priority="5" operator="lessThan">
      <formula>0</formula>
    </cfRule>
  </conditionalFormatting>
  <conditionalFormatting sqref="J5:L5">
    <cfRule type="cellIs" dxfId="0" priority="3"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2:D338"/>
  <sheetViews>
    <sheetView workbookViewId="0">
      <pane ySplit="1" topLeftCell="A53" activePane="bottomLeft" state="frozen"/>
      <selection pane="bottomLeft" activeCell="A62" sqref="A62"/>
    </sheetView>
  </sheetViews>
  <sheetFormatPr baseColWidth="10" defaultColWidth="10.83203125" defaultRowHeight="17" x14ac:dyDescent="0.2"/>
  <cols>
    <col min="1" max="1" width="57.6640625" style="39" customWidth="1"/>
    <col min="3" max="3" width="25.6640625" customWidth="1"/>
    <col min="4" max="4" width="18.33203125" customWidth="1"/>
  </cols>
  <sheetData>
    <row r="2" spans="1:2" ht="58.5" customHeight="1" x14ac:dyDescent="0.2">
      <c r="A2" s="268"/>
    </row>
    <row r="3" spans="1:2" ht="22" customHeight="1" x14ac:dyDescent="0.2">
      <c r="A3" s="588" t="s">
        <v>80</v>
      </c>
    </row>
    <row r="4" spans="1:2" ht="22" customHeight="1" x14ac:dyDescent="0.2">
      <c r="A4" s="588"/>
    </row>
    <row r="5" spans="1:2" ht="22" customHeight="1" x14ac:dyDescent="0.2">
      <c r="A5" s="588" t="s">
        <v>81</v>
      </c>
    </row>
    <row r="6" spans="1:2" ht="22" customHeight="1" x14ac:dyDescent="0.2">
      <c r="A6" s="588" t="s">
        <v>82</v>
      </c>
    </row>
    <row r="7" spans="1:2" ht="22" customHeight="1" x14ac:dyDescent="0.2">
      <c r="A7" s="588"/>
    </row>
    <row r="8" spans="1:2" ht="22" customHeight="1" x14ac:dyDescent="0.2">
      <c r="A8" s="588" t="s">
        <v>83</v>
      </c>
      <c r="B8" s="39"/>
    </row>
    <row r="9" spans="1:2" ht="22" customHeight="1" x14ac:dyDescent="0.2">
      <c r="A9" s="588" t="s">
        <v>84</v>
      </c>
      <c r="B9" s="39"/>
    </row>
    <row r="10" spans="1:2" ht="22" customHeight="1" x14ac:dyDescent="0.2">
      <c r="A10" s="588" t="s">
        <v>85</v>
      </c>
      <c r="B10" s="39"/>
    </row>
    <row r="11" spans="1:2" ht="22" customHeight="1" x14ac:dyDescent="0.2">
      <c r="A11" s="588" t="s">
        <v>86</v>
      </c>
      <c r="B11" s="39"/>
    </row>
    <row r="12" spans="1:2" ht="22" customHeight="1" x14ac:dyDescent="0.2">
      <c r="A12" s="588" t="s">
        <v>87</v>
      </c>
      <c r="B12" s="39"/>
    </row>
    <row r="13" spans="1:2" ht="22" customHeight="1" x14ac:dyDescent="0.2">
      <c r="A13" s="588" t="s">
        <v>88</v>
      </c>
      <c r="B13" s="39"/>
    </row>
    <row r="14" spans="1:2" ht="22" customHeight="1" x14ac:dyDescent="0.2">
      <c r="A14" s="588" t="s">
        <v>89</v>
      </c>
      <c r="B14" s="39"/>
    </row>
    <row r="15" spans="1:2" ht="22" customHeight="1" x14ac:dyDescent="0.2">
      <c r="A15" s="588" t="s">
        <v>90</v>
      </c>
      <c r="B15" s="39"/>
    </row>
    <row r="16" spans="1:2" ht="22" customHeight="1" x14ac:dyDescent="0.2">
      <c r="A16" s="588" t="s">
        <v>91</v>
      </c>
      <c r="B16" s="39"/>
    </row>
    <row r="17" spans="1:2" ht="22" customHeight="1" x14ac:dyDescent="0.2">
      <c r="A17" s="588" t="s">
        <v>92</v>
      </c>
      <c r="B17" s="39"/>
    </row>
    <row r="18" spans="1:2" ht="22" customHeight="1" x14ac:dyDescent="0.2">
      <c r="A18" s="588" t="s">
        <v>93</v>
      </c>
      <c r="B18" s="39"/>
    </row>
    <row r="19" spans="1:2" ht="22" customHeight="1" x14ac:dyDescent="0.2">
      <c r="A19" s="588" t="s">
        <v>94</v>
      </c>
      <c r="B19" s="39"/>
    </row>
    <row r="20" spans="1:2" ht="22" customHeight="1" x14ac:dyDescent="0.2">
      <c r="A20" s="588" t="s">
        <v>95</v>
      </c>
      <c r="B20" s="39"/>
    </row>
    <row r="21" spans="1:2" ht="22" customHeight="1" x14ac:dyDescent="0.2">
      <c r="A21" s="588" t="s">
        <v>96</v>
      </c>
      <c r="B21" s="39"/>
    </row>
    <row r="22" spans="1:2" ht="22" customHeight="1" x14ac:dyDescent="0.2">
      <c r="A22" s="588" t="s">
        <v>97</v>
      </c>
      <c r="B22" s="39"/>
    </row>
    <row r="23" spans="1:2" ht="22" customHeight="1" x14ac:dyDescent="0.2">
      <c r="A23" s="588" t="s">
        <v>98</v>
      </c>
      <c r="B23" s="39"/>
    </row>
    <row r="24" spans="1:2" ht="22" customHeight="1" x14ac:dyDescent="0.2">
      <c r="A24" s="588" t="s">
        <v>99</v>
      </c>
      <c r="B24" s="39"/>
    </row>
    <row r="25" spans="1:2" ht="22" customHeight="1" x14ac:dyDescent="0.2">
      <c r="A25" s="588" t="s">
        <v>100</v>
      </c>
      <c r="B25" s="39"/>
    </row>
    <row r="26" spans="1:2" ht="22" customHeight="1" x14ac:dyDescent="0.2">
      <c r="A26" s="588" t="s">
        <v>101</v>
      </c>
      <c r="B26" s="39"/>
    </row>
    <row r="27" spans="1:2" ht="22" customHeight="1" x14ac:dyDescent="0.2">
      <c r="A27" s="588" t="s">
        <v>102</v>
      </c>
      <c r="B27" s="39"/>
    </row>
    <row r="28" spans="1:2" ht="22" customHeight="1" x14ac:dyDescent="0.2">
      <c r="A28" s="588" t="s">
        <v>103</v>
      </c>
      <c r="B28" s="39"/>
    </row>
    <row r="29" spans="1:2" ht="22" customHeight="1" x14ac:dyDescent="0.2">
      <c r="A29" s="588" t="s">
        <v>104</v>
      </c>
      <c r="B29" s="39"/>
    </row>
    <row r="30" spans="1:2" ht="22" customHeight="1" x14ac:dyDescent="0.2">
      <c r="A30" s="588" t="s">
        <v>105</v>
      </c>
      <c r="B30" s="39"/>
    </row>
    <row r="31" spans="1:2" ht="22" customHeight="1" x14ac:dyDescent="0.2">
      <c r="A31" s="588" t="s">
        <v>106</v>
      </c>
      <c r="B31" s="39"/>
    </row>
    <row r="32" spans="1:2" ht="22" customHeight="1" x14ac:dyDescent="0.2">
      <c r="A32" s="588" t="s">
        <v>107</v>
      </c>
      <c r="B32" s="39"/>
    </row>
    <row r="33" spans="1:2" ht="22" customHeight="1" x14ac:dyDescent="0.2">
      <c r="A33" s="588" t="s">
        <v>108</v>
      </c>
      <c r="B33" s="39"/>
    </row>
    <row r="34" spans="1:2" ht="22" customHeight="1" x14ac:dyDescent="0.2">
      <c r="A34" s="588" t="s">
        <v>109</v>
      </c>
      <c r="B34" s="39"/>
    </row>
    <row r="35" spans="1:2" ht="22" customHeight="1" x14ac:dyDescent="0.2">
      <c r="A35" s="588" t="s">
        <v>110</v>
      </c>
      <c r="B35" s="39"/>
    </row>
    <row r="36" spans="1:2" ht="22" customHeight="1" x14ac:dyDescent="0.2">
      <c r="A36" s="588" t="s">
        <v>111</v>
      </c>
      <c r="B36" s="39"/>
    </row>
    <row r="37" spans="1:2" ht="22" customHeight="1" x14ac:dyDescent="0.2">
      <c r="A37" s="588" t="s">
        <v>112</v>
      </c>
      <c r="B37" s="39"/>
    </row>
    <row r="38" spans="1:2" ht="22" customHeight="1" x14ac:dyDescent="0.2">
      <c r="A38" s="588" t="s">
        <v>113</v>
      </c>
      <c r="B38" s="39"/>
    </row>
    <row r="39" spans="1:2" ht="22" customHeight="1" x14ac:dyDescent="0.2">
      <c r="A39" s="588" t="s">
        <v>114</v>
      </c>
      <c r="B39" s="39"/>
    </row>
    <row r="40" spans="1:2" ht="22" customHeight="1" x14ac:dyDescent="0.2">
      <c r="A40" s="588" t="s">
        <v>115</v>
      </c>
      <c r="B40" s="39"/>
    </row>
    <row r="41" spans="1:2" ht="22" customHeight="1" x14ac:dyDescent="0.2">
      <c r="A41" s="588" t="s">
        <v>116</v>
      </c>
      <c r="B41" s="39"/>
    </row>
    <row r="42" spans="1:2" ht="22" customHeight="1" x14ac:dyDescent="0.2">
      <c r="A42" s="588" t="s">
        <v>117</v>
      </c>
      <c r="B42" s="39"/>
    </row>
    <row r="43" spans="1:2" ht="22" customHeight="1" x14ac:dyDescent="0.2">
      <c r="A43" s="588" t="s">
        <v>118</v>
      </c>
      <c r="B43" s="39"/>
    </row>
    <row r="44" spans="1:2" ht="22" customHeight="1" x14ac:dyDescent="0.2">
      <c r="A44" s="588" t="s">
        <v>119</v>
      </c>
      <c r="B44" s="39"/>
    </row>
    <row r="45" spans="1:2" ht="22" customHeight="1" x14ac:dyDescent="0.2">
      <c r="A45" s="588" t="s">
        <v>120</v>
      </c>
      <c r="B45" s="39"/>
    </row>
    <row r="46" spans="1:2" ht="22" customHeight="1" x14ac:dyDescent="0.2">
      <c r="A46" s="588"/>
      <c r="B46" s="39"/>
    </row>
    <row r="47" spans="1:2" ht="22" customHeight="1" x14ac:dyDescent="0.2">
      <c r="A47" s="588" t="s">
        <v>121</v>
      </c>
      <c r="B47" s="39"/>
    </row>
    <row r="48" spans="1:2" ht="22" customHeight="1" x14ac:dyDescent="0.2">
      <c r="A48" s="588" t="s">
        <v>122</v>
      </c>
      <c r="B48" s="39"/>
    </row>
    <row r="49" spans="1:2" ht="22" customHeight="1" x14ac:dyDescent="0.2">
      <c r="A49" s="269" t="s">
        <v>123</v>
      </c>
      <c r="B49" s="39"/>
    </row>
    <row r="50" spans="1:2" ht="22" customHeight="1" x14ac:dyDescent="0.2">
      <c r="A50" s="588" t="s">
        <v>124</v>
      </c>
      <c r="B50" s="39"/>
    </row>
    <row r="51" spans="1:2" ht="22" customHeight="1" x14ac:dyDescent="0.2">
      <c r="A51" s="588" t="s">
        <v>125</v>
      </c>
      <c r="B51" s="39"/>
    </row>
    <row r="52" spans="1:2" ht="22" customHeight="1" x14ac:dyDescent="0.2">
      <c r="A52" s="588" t="s">
        <v>126</v>
      </c>
      <c r="B52" s="39"/>
    </row>
    <row r="53" spans="1:2" ht="22" customHeight="1" x14ac:dyDescent="0.2">
      <c r="A53" s="588" t="s">
        <v>127</v>
      </c>
      <c r="B53" s="39"/>
    </row>
    <row r="54" spans="1:2" ht="22" customHeight="1" x14ac:dyDescent="0.2">
      <c r="A54" s="588" t="s">
        <v>128</v>
      </c>
      <c r="B54" s="39"/>
    </row>
    <row r="55" spans="1:2" ht="22" customHeight="1" x14ac:dyDescent="0.2">
      <c r="A55" s="588" t="s">
        <v>129</v>
      </c>
      <c r="B55" s="39"/>
    </row>
    <row r="56" spans="1:2" ht="22" customHeight="1" x14ac:dyDescent="0.2">
      <c r="A56" s="588" t="s">
        <v>130</v>
      </c>
      <c r="B56" s="39"/>
    </row>
    <row r="57" spans="1:2" ht="22" customHeight="1" x14ac:dyDescent="0.2">
      <c r="A57" s="588" t="s">
        <v>131</v>
      </c>
      <c r="B57" s="39"/>
    </row>
    <row r="58" spans="1:2" ht="22" customHeight="1" x14ac:dyDescent="0.2">
      <c r="A58" s="588" t="s">
        <v>132</v>
      </c>
      <c r="B58" s="39"/>
    </row>
    <row r="59" spans="1:2" ht="22" customHeight="1" x14ac:dyDescent="0.2">
      <c r="A59" s="588" t="s">
        <v>133</v>
      </c>
      <c r="B59" s="39"/>
    </row>
    <row r="60" spans="1:2" ht="22" customHeight="1" x14ac:dyDescent="0.2">
      <c r="A60" s="588" t="s">
        <v>134</v>
      </c>
    </row>
    <row r="61" spans="1:2" ht="22" customHeight="1" x14ac:dyDescent="0.2">
      <c r="A61" s="588" t="s">
        <v>135</v>
      </c>
    </row>
    <row r="62" spans="1:2" ht="22" customHeight="1" x14ac:dyDescent="0.2">
      <c r="A62" s="588" t="s">
        <v>136</v>
      </c>
    </row>
    <row r="63" spans="1:2" ht="22" customHeight="1" x14ac:dyDescent="0.2">
      <c r="A63" s="588" t="s">
        <v>137</v>
      </c>
    </row>
    <row r="64" spans="1:2" ht="22" customHeight="1" x14ac:dyDescent="0.2">
      <c r="A64" s="588" t="s">
        <v>138</v>
      </c>
    </row>
    <row r="65" spans="1:4" ht="22" customHeight="1" x14ac:dyDescent="0.2">
      <c r="A65" s="588" t="s">
        <v>139</v>
      </c>
    </row>
    <row r="66" spans="1:4" ht="22" customHeight="1" x14ac:dyDescent="0.2">
      <c r="A66" s="588" t="s">
        <v>140</v>
      </c>
      <c r="D66" s="26"/>
    </row>
    <row r="67" spans="1:4" ht="22" customHeight="1" x14ac:dyDescent="0.2">
      <c r="A67" s="588" t="s">
        <v>141</v>
      </c>
      <c r="D67" s="26"/>
    </row>
    <row r="68" spans="1:4" ht="22" customHeight="1" x14ac:dyDescent="0.2">
      <c r="A68" s="588" t="s">
        <v>142</v>
      </c>
      <c r="D68" s="25"/>
    </row>
    <row r="69" spans="1:4" ht="22" customHeight="1" x14ac:dyDescent="0.2">
      <c r="A69" s="588" t="s">
        <v>143</v>
      </c>
      <c r="D69" s="25"/>
    </row>
    <row r="70" spans="1:4" ht="22" customHeight="1" x14ac:dyDescent="0.2">
      <c r="A70" s="588" t="s">
        <v>144</v>
      </c>
      <c r="D70" s="25"/>
    </row>
    <row r="71" spans="1:4" ht="22" customHeight="1" x14ac:dyDescent="0.2">
      <c r="A71" s="588" t="s">
        <v>145</v>
      </c>
      <c r="D71" s="25"/>
    </row>
    <row r="72" spans="1:4" ht="22" customHeight="1" x14ac:dyDescent="0.2">
      <c r="A72" s="588" t="s">
        <v>146</v>
      </c>
    </row>
    <row r="73" spans="1:4" ht="22" customHeight="1" x14ac:dyDescent="0.2">
      <c r="A73" s="588" t="s">
        <v>147</v>
      </c>
    </row>
    <row r="74" spans="1:4" ht="22" customHeight="1" x14ac:dyDescent="0.2">
      <c r="A74" s="588" t="s">
        <v>148</v>
      </c>
      <c r="C74" s="32"/>
      <c r="D74" s="29"/>
    </row>
    <row r="75" spans="1:4" ht="22" customHeight="1" x14ac:dyDescent="0.2">
      <c r="A75" s="588" t="s">
        <v>149</v>
      </c>
      <c r="C75" s="33"/>
      <c r="D75" s="30"/>
    </row>
    <row r="76" spans="1:4" ht="22" customHeight="1" x14ac:dyDescent="0.2">
      <c r="A76" s="588" t="s">
        <v>150</v>
      </c>
      <c r="C76" s="33"/>
      <c r="D76" s="30"/>
    </row>
    <row r="77" spans="1:4" ht="22" customHeight="1" x14ac:dyDescent="0.2">
      <c r="A77" s="588" t="s">
        <v>151</v>
      </c>
      <c r="C77" s="33"/>
      <c r="D77" s="30"/>
    </row>
    <row r="78" spans="1:4" ht="22" customHeight="1" x14ac:dyDescent="0.2">
      <c r="A78" s="588" t="s">
        <v>152</v>
      </c>
      <c r="C78" s="33"/>
      <c r="D78" s="30"/>
    </row>
    <row r="79" spans="1:4" ht="22" customHeight="1" x14ac:dyDescent="0.2">
      <c r="A79" s="588" t="s">
        <v>153</v>
      </c>
      <c r="C79" s="33"/>
      <c r="D79" s="30"/>
    </row>
    <row r="80" spans="1:4" ht="22" customHeight="1" x14ac:dyDescent="0.2">
      <c r="A80" s="588" t="s">
        <v>154</v>
      </c>
      <c r="C80" s="34"/>
      <c r="D80" s="30"/>
    </row>
    <row r="81" spans="1:4" ht="22" customHeight="1" x14ac:dyDescent="0.2">
      <c r="A81" s="588" t="s">
        <v>155</v>
      </c>
      <c r="C81" s="34"/>
      <c r="D81" s="30"/>
    </row>
    <row r="82" spans="1:4" ht="22" customHeight="1" x14ac:dyDescent="0.2">
      <c r="A82" s="588" t="s">
        <v>156</v>
      </c>
      <c r="C82" s="32"/>
      <c r="D82" s="30"/>
    </row>
    <row r="83" spans="1:4" ht="22" customHeight="1" x14ac:dyDescent="0.2">
      <c r="A83" s="588" t="s">
        <v>157</v>
      </c>
      <c r="C83" s="32"/>
      <c r="D83" s="30"/>
    </row>
    <row r="84" spans="1:4" ht="22" customHeight="1" x14ac:dyDescent="0.2">
      <c r="A84" s="588" t="s">
        <v>158</v>
      </c>
      <c r="C84" s="32"/>
      <c r="D84" s="30"/>
    </row>
    <row r="85" spans="1:4" ht="22" customHeight="1" x14ac:dyDescent="0.2">
      <c r="A85" s="588" t="s">
        <v>159</v>
      </c>
      <c r="C85" s="32"/>
      <c r="D85" s="30"/>
    </row>
    <row r="86" spans="1:4" ht="22" customHeight="1" x14ac:dyDescent="0.2">
      <c r="A86" s="588" t="s">
        <v>160</v>
      </c>
      <c r="C86" s="32"/>
      <c r="D86" s="30"/>
    </row>
    <row r="87" spans="1:4" ht="22" customHeight="1" x14ac:dyDescent="0.2">
      <c r="A87" s="588" t="s">
        <v>161</v>
      </c>
      <c r="C87" s="32"/>
      <c r="D87" s="30"/>
    </row>
    <row r="88" spans="1:4" ht="22" customHeight="1" x14ac:dyDescent="0.2">
      <c r="A88" s="588" t="s">
        <v>162</v>
      </c>
      <c r="C88" s="32"/>
      <c r="D88" s="30"/>
    </row>
    <row r="89" spans="1:4" ht="22" customHeight="1" x14ac:dyDescent="0.2">
      <c r="A89" s="588" t="s">
        <v>163</v>
      </c>
      <c r="C89" s="32"/>
      <c r="D89" s="30"/>
    </row>
    <row r="90" spans="1:4" ht="22" customHeight="1" x14ac:dyDescent="0.2">
      <c r="A90" s="588" t="s">
        <v>164</v>
      </c>
      <c r="C90" s="32"/>
      <c r="D90" s="30"/>
    </row>
    <row r="91" spans="1:4" ht="22" customHeight="1" x14ac:dyDescent="0.2">
      <c r="A91" s="588" t="s">
        <v>165</v>
      </c>
      <c r="C91" s="32"/>
      <c r="D91" s="30"/>
    </row>
    <row r="92" spans="1:4" ht="22" customHeight="1" x14ac:dyDescent="0.2">
      <c r="A92" s="588"/>
      <c r="C92" s="30"/>
    </row>
    <row r="93" spans="1:4" ht="22" customHeight="1" x14ac:dyDescent="0.2">
      <c r="A93" s="588" t="s">
        <v>166</v>
      </c>
      <c r="C93" s="30"/>
    </row>
    <row r="94" spans="1:4" ht="22" customHeight="1" x14ac:dyDescent="0.2">
      <c r="A94" s="588" t="s">
        <v>167</v>
      </c>
      <c r="D94" s="30"/>
    </row>
    <row r="95" spans="1:4" ht="22" customHeight="1" x14ac:dyDescent="0.2">
      <c r="A95" s="218" t="s">
        <v>168</v>
      </c>
      <c r="D95" s="29"/>
    </row>
    <row r="96" spans="1:4" ht="22" customHeight="1" x14ac:dyDescent="0.2">
      <c r="A96" s="218" t="s">
        <v>169</v>
      </c>
      <c r="C96" s="30"/>
    </row>
    <row r="97" spans="1:3" ht="22" customHeight="1" x14ac:dyDescent="0.2">
      <c r="A97" s="588" t="s">
        <v>170</v>
      </c>
      <c r="C97" s="30"/>
    </row>
    <row r="98" spans="1:3" ht="22" customHeight="1" x14ac:dyDescent="0.2">
      <c r="A98" s="270" t="s">
        <v>171</v>
      </c>
      <c r="C98" s="30"/>
    </row>
    <row r="99" spans="1:3" ht="22" customHeight="1" x14ac:dyDescent="0.2">
      <c r="A99" s="270" t="s">
        <v>172</v>
      </c>
      <c r="C99" s="30"/>
    </row>
    <row r="100" spans="1:3" ht="22" customHeight="1" x14ac:dyDescent="0.2">
      <c r="A100" s="270" t="s">
        <v>172</v>
      </c>
      <c r="C100" s="30"/>
    </row>
    <row r="101" spans="1:3" ht="22" customHeight="1" x14ac:dyDescent="0.2">
      <c r="A101" s="271" t="s">
        <v>172</v>
      </c>
      <c r="C101" s="30"/>
    </row>
    <row r="102" spans="1:3" ht="22" customHeight="1" x14ac:dyDescent="0.2">
      <c r="A102" s="271"/>
      <c r="C102" s="30"/>
    </row>
    <row r="103" spans="1:3" ht="22" customHeight="1" x14ac:dyDescent="0.2">
      <c r="A103" s="588" t="s">
        <v>173</v>
      </c>
      <c r="C103" s="30"/>
    </row>
    <row r="104" spans="1:3" ht="22" customHeight="1" x14ac:dyDescent="0.2">
      <c r="A104" s="270" t="s">
        <v>174</v>
      </c>
      <c r="C104" s="30"/>
    </row>
    <row r="105" spans="1:3" ht="22" customHeight="1" x14ac:dyDescent="0.2">
      <c r="A105" s="272" t="s">
        <v>175</v>
      </c>
      <c r="C105" s="30"/>
    </row>
    <row r="106" spans="1:3" ht="22" customHeight="1" x14ac:dyDescent="0.2">
      <c r="A106" s="272" t="s">
        <v>176</v>
      </c>
      <c r="C106" s="30"/>
    </row>
    <row r="107" spans="1:3" ht="22" customHeight="1" x14ac:dyDescent="0.2">
      <c r="A107" s="272" t="s">
        <v>177</v>
      </c>
      <c r="C107" s="31"/>
    </row>
    <row r="108" spans="1:3" ht="22" customHeight="1" x14ac:dyDescent="0.2">
      <c r="A108" s="272" t="s">
        <v>178</v>
      </c>
      <c r="C108" s="30"/>
    </row>
    <row r="109" spans="1:3" ht="22" customHeight="1" x14ac:dyDescent="0.2">
      <c r="A109" s="272" t="s">
        <v>179</v>
      </c>
      <c r="C109" s="30"/>
    </row>
    <row r="110" spans="1:3" ht="22" customHeight="1" x14ac:dyDescent="0.2">
      <c r="A110" s="272" t="s">
        <v>180</v>
      </c>
      <c r="C110" s="30"/>
    </row>
    <row r="111" spans="1:3" ht="22" customHeight="1" x14ac:dyDescent="0.2">
      <c r="A111" s="272" t="s">
        <v>181</v>
      </c>
      <c r="C111" s="30"/>
    </row>
    <row r="112" spans="1:3" ht="22" customHeight="1" x14ac:dyDescent="0.2">
      <c r="A112" s="272" t="s">
        <v>182</v>
      </c>
      <c r="C112" s="30"/>
    </row>
    <row r="113" spans="1:3" ht="22" customHeight="1" x14ac:dyDescent="0.2">
      <c r="A113" s="272" t="s">
        <v>183</v>
      </c>
      <c r="C113" s="30"/>
    </row>
    <row r="114" spans="1:3" ht="22" customHeight="1" x14ac:dyDescent="0.2">
      <c r="A114" s="272" t="s">
        <v>184</v>
      </c>
      <c r="C114" s="30"/>
    </row>
    <row r="115" spans="1:3" ht="22" customHeight="1" x14ac:dyDescent="0.2">
      <c r="A115" s="272" t="s">
        <v>185</v>
      </c>
      <c r="C115" s="30"/>
    </row>
    <row r="116" spans="1:3" ht="22" customHeight="1" x14ac:dyDescent="0.2">
      <c r="A116" s="272" t="s">
        <v>186</v>
      </c>
      <c r="C116" s="30"/>
    </row>
    <row r="117" spans="1:3" ht="22" customHeight="1" x14ac:dyDescent="0.2">
      <c r="A117" s="272" t="s">
        <v>187</v>
      </c>
      <c r="C117" s="30"/>
    </row>
    <row r="118" spans="1:3" ht="22" customHeight="1" x14ac:dyDescent="0.2">
      <c r="A118" s="272" t="s">
        <v>188</v>
      </c>
      <c r="C118" s="30"/>
    </row>
    <row r="119" spans="1:3" ht="22" customHeight="1" x14ac:dyDescent="0.2">
      <c r="A119" s="272" t="s">
        <v>189</v>
      </c>
      <c r="C119" s="30"/>
    </row>
    <row r="120" spans="1:3" ht="22" customHeight="1" x14ac:dyDescent="0.2">
      <c r="A120" s="272" t="s">
        <v>190</v>
      </c>
    </row>
    <row r="121" spans="1:3" ht="22" customHeight="1" x14ac:dyDescent="0.2">
      <c r="A121" s="272" t="s">
        <v>191</v>
      </c>
    </row>
    <row r="122" spans="1:3" ht="22" customHeight="1" x14ac:dyDescent="0.2">
      <c r="A122" s="272" t="s">
        <v>192</v>
      </c>
    </row>
    <row r="123" spans="1:3" ht="22" customHeight="1" x14ac:dyDescent="0.2">
      <c r="A123" s="272" t="s">
        <v>192</v>
      </c>
    </row>
    <row r="124" spans="1:3" ht="22" customHeight="1" x14ac:dyDescent="0.2">
      <c r="A124" s="272"/>
    </row>
    <row r="125" spans="1:3" ht="22" customHeight="1" x14ac:dyDescent="0.2">
      <c r="A125" s="272"/>
    </row>
    <row r="126" spans="1:3" ht="22" customHeight="1" x14ac:dyDescent="0.2">
      <c r="A126" s="273" t="s">
        <v>193</v>
      </c>
    </row>
    <row r="127" spans="1:3" ht="22" customHeight="1" x14ac:dyDescent="0.2">
      <c r="A127" s="273" t="s">
        <v>194</v>
      </c>
    </row>
    <row r="128" spans="1:3" ht="22" customHeight="1" x14ac:dyDescent="0.2">
      <c r="A128" s="273" t="s">
        <v>195</v>
      </c>
    </row>
    <row r="129" spans="1:1" ht="22" customHeight="1" x14ac:dyDescent="0.2">
      <c r="A129" s="273" t="s">
        <v>196</v>
      </c>
    </row>
    <row r="130" spans="1:1" ht="22" customHeight="1" x14ac:dyDescent="0.2">
      <c r="A130" s="273" t="s">
        <v>197</v>
      </c>
    </row>
    <row r="131" spans="1:1" ht="22" customHeight="1" x14ac:dyDescent="0.2">
      <c r="A131" s="273" t="s">
        <v>198</v>
      </c>
    </row>
    <row r="132" spans="1:1" ht="22" customHeight="1" x14ac:dyDescent="0.2">
      <c r="A132" s="273" t="s">
        <v>199</v>
      </c>
    </row>
    <row r="133" spans="1:1" ht="22" customHeight="1" x14ac:dyDescent="0.2">
      <c r="A133" s="273" t="s">
        <v>200</v>
      </c>
    </row>
    <row r="134" spans="1:1" ht="22" customHeight="1" x14ac:dyDescent="0.2">
      <c r="A134" s="273" t="s">
        <v>201</v>
      </c>
    </row>
    <row r="135" spans="1:1" ht="22" customHeight="1" x14ac:dyDescent="0.2">
      <c r="A135" s="273" t="s">
        <v>202</v>
      </c>
    </row>
    <row r="136" spans="1:1" ht="22" customHeight="1" x14ac:dyDescent="0.2">
      <c r="A136" s="273" t="s">
        <v>203</v>
      </c>
    </row>
    <row r="137" spans="1:1" ht="22" customHeight="1" x14ac:dyDescent="0.2">
      <c r="A137" s="273" t="s">
        <v>204</v>
      </c>
    </row>
    <row r="138" spans="1:1" ht="22" customHeight="1" x14ac:dyDescent="0.2">
      <c r="A138" s="273" t="s">
        <v>205</v>
      </c>
    </row>
    <row r="139" spans="1:1" ht="22" customHeight="1" x14ac:dyDescent="0.2">
      <c r="A139" s="273" t="s">
        <v>206</v>
      </c>
    </row>
    <row r="140" spans="1:1" ht="22" customHeight="1" x14ac:dyDescent="0.2">
      <c r="A140" s="273" t="s">
        <v>207</v>
      </c>
    </row>
    <row r="141" spans="1:1" ht="22" customHeight="1" x14ac:dyDescent="0.2">
      <c r="A141" s="273" t="s">
        <v>208</v>
      </c>
    </row>
    <row r="142" spans="1:1" ht="22" customHeight="1" x14ac:dyDescent="0.2">
      <c r="A142" s="273"/>
    </row>
    <row r="143" spans="1:1" ht="22" customHeight="1" x14ac:dyDescent="0.2">
      <c r="A143" s="273"/>
    </row>
    <row r="144" spans="1:1" ht="22" customHeight="1" x14ac:dyDescent="0.2">
      <c r="A144" s="589"/>
    </row>
    <row r="145" spans="1:1" ht="22" customHeight="1" x14ac:dyDescent="0.2">
      <c r="A145" s="589"/>
    </row>
    <row r="146" spans="1:1" ht="22" customHeight="1" x14ac:dyDescent="0.2">
      <c r="A146" s="589"/>
    </row>
    <row r="147" spans="1:1" ht="22" customHeight="1" x14ac:dyDescent="0.2">
      <c r="A147" s="590"/>
    </row>
    <row r="148" spans="1:1" ht="22" customHeight="1" x14ac:dyDescent="0.2">
      <c r="A148" s="588"/>
    </row>
    <row r="149" spans="1:1" ht="22" customHeight="1" x14ac:dyDescent="0.2">
      <c r="A149" s="588"/>
    </row>
    <row r="150" spans="1:1" ht="22" customHeight="1" x14ac:dyDescent="0.2">
      <c r="A150" s="588"/>
    </row>
    <row r="151" spans="1:1" ht="22" customHeight="1" x14ac:dyDescent="0.2">
      <c r="A151" s="588"/>
    </row>
    <row r="152" spans="1:1" ht="22" customHeight="1" x14ac:dyDescent="0.2">
      <c r="A152" s="588"/>
    </row>
    <row r="153" spans="1:1" ht="22" customHeight="1" x14ac:dyDescent="0.2">
      <c r="A153" s="591" t="s">
        <v>209</v>
      </c>
    </row>
    <row r="154" spans="1:1" ht="22" customHeight="1" x14ac:dyDescent="0.2">
      <c r="A154" s="591" t="s">
        <v>210</v>
      </c>
    </row>
    <row r="155" spans="1:1" ht="22" customHeight="1" x14ac:dyDescent="0.2">
      <c r="A155" s="591" t="s">
        <v>211</v>
      </c>
    </row>
    <row r="156" spans="1:1" ht="22" customHeight="1" x14ac:dyDescent="0.2">
      <c r="A156" s="591" t="s">
        <v>212</v>
      </c>
    </row>
    <row r="157" spans="1:1" ht="22" customHeight="1" x14ac:dyDescent="0.2">
      <c r="A157" s="591" t="s">
        <v>213</v>
      </c>
    </row>
    <row r="158" spans="1:1" ht="22" customHeight="1" x14ac:dyDescent="0.2">
      <c r="A158" s="591" t="s">
        <v>214</v>
      </c>
    </row>
    <row r="159" spans="1:1" ht="22" customHeight="1" x14ac:dyDescent="0.2">
      <c r="A159" s="591" t="s">
        <v>215</v>
      </c>
    </row>
    <row r="160" spans="1:1" ht="22" customHeight="1" x14ac:dyDescent="0.2">
      <c r="A160" s="588" t="s">
        <v>216</v>
      </c>
    </row>
    <row r="161" spans="1:1" ht="22" customHeight="1" x14ac:dyDescent="0.2">
      <c r="A161" s="588" t="s">
        <v>217</v>
      </c>
    </row>
    <row r="162" spans="1:1" ht="22" customHeight="1" x14ac:dyDescent="0.2">
      <c r="A162" s="591" t="s">
        <v>218</v>
      </c>
    </row>
    <row r="163" spans="1:1" ht="22" customHeight="1" x14ac:dyDescent="0.2">
      <c r="A163" s="591" t="s">
        <v>219</v>
      </c>
    </row>
    <row r="164" spans="1:1" ht="22" customHeight="1" x14ac:dyDescent="0.2">
      <c r="A164" s="591" t="s">
        <v>220</v>
      </c>
    </row>
    <row r="165" spans="1:1" ht="22" customHeight="1" x14ac:dyDescent="0.2">
      <c r="A165" s="591" t="s">
        <v>221</v>
      </c>
    </row>
    <row r="166" spans="1:1" ht="22" customHeight="1" x14ac:dyDescent="0.2">
      <c r="A166" s="591" t="s">
        <v>222</v>
      </c>
    </row>
    <row r="167" spans="1:1" ht="22" customHeight="1" x14ac:dyDescent="0.2">
      <c r="A167" s="591" t="s">
        <v>223</v>
      </c>
    </row>
    <row r="168" spans="1:1" ht="22" customHeight="1" x14ac:dyDescent="0.2">
      <c r="A168" s="591" t="s">
        <v>224</v>
      </c>
    </row>
    <row r="169" spans="1:1" ht="22" customHeight="1" x14ac:dyDescent="0.2">
      <c r="A169" s="591" t="s">
        <v>225</v>
      </c>
    </row>
    <row r="170" spans="1:1" ht="22" customHeight="1" x14ac:dyDescent="0.2">
      <c r="A170" s="591" t="s">
        <v>226</v>
      </c>
    </row>
    <row r="171" spans="1:1" ht="22" customHeight="1" x14ac:dyDescent="0.2">
      <c r="A171" s="591" t="s">
        <v>227</v>
      </c>
    </row>
    <row r="172" spans="1:1" ht="22" customHeight="1" x14ac:dyDescent="0.2">
      <c r="A172" s="591" t="s">
        <v>228</v>
      </c>
    </row>
    <row r="173" spans="1:1" ht="22" customHeight="1" x14ac:dyDescent="0.2">
      <c r="A173" s="591" t="s">
        <v>229</v>
      </c>
    </row>
    <row r="174" spans="1:1" ht="22" customHeight="1" x14ac:dyDescent="0.2">
      <c r="A174" s="591" t="s">
        <v>230</v>
      </c>
    </row>
    <row r="175" spans="1:1" ht="22" customHeight="1" x14ac:dyDescent="0.2">
      <c r="A175" s="591" t="s">
        <v>231</v>
      </c>
    </row>
    <row r="176" spans="1:1" ht="22" customHeight="1" x14ac:dyDescent="0.2">
      <c r="A176" s="591" t="s">
        <v>232</v>
      </c>
    </row>
    <row r="177" spans="1:1" ht="22" customHeight="1" x14ac:dyDescent="0.2">
      <c r="A177" s="591" t="s">
        <v>233</v>
      </c>
    </row>
    <row r="178" spans="1:1" ht="22" customHeight="1" x14ac:dyDescent="0.2">
      <c r="A178" s="591" t="s">
        <v>234</v>
      </c>
    </row>
    <row r="179" spans="1:1" ht="22" customHeight="1" x14ac:dyDescent="0.2">
      <c r="A179" s="591" t="s">
        <v>235</v>
      </c>
    </row>
    <row r="180" spans="1:1" ht="22" customHeight="1" x14ac:dyDescent="0.2">
      <c r="A180" s="591" t="s">
        <v>236</v>
      </c>
    </row>
    <row r="181" spans="1:1" ht="22" customHeight="1" x14ac:dyDescent="0.2">
      <c r="A181" s="591" t="s">
        <v>237</v>
      </c>
    </row>
    <row r="182" spans="1:1" ht="22" customHeight="1" x14ac:dyDescent="0.2">
      <c r="A182" s="591" t="s">
        <v>238</v>
      </c>
    </row>
    <row r="183" spans="1:1" ht="22" customHeight="1" x14ac:dyDescent="0.2">
      <c r="A183" s="591" t="s">
        <v>239</v>
      </c>
    </row>
    <row r="184" spans="1:1" ht="22" customHeight="1" x14ac:dyDescent="0.2">
      <c r="A184" s="591" t="s">
        <v>240</v>
      </c>
    </row>
    <row r="185" spans="1:1" ht="22" customHeight="1" x14ac:dyDescent="0.2">
      <c r="A185" s="591"/>
    </row>
    <row r="186" spans="1:1" ht="22" customHeight="1" x14ac:dyDescent="0.2">
      <c r="A186" s="591"/>
    </row>
    <row r="187" spans="1:1" ht="22" customHeight="1" x14ac:dyDescent="0.2">
      <c r="A187" s="218" t="s">
        <v>241</v>
      </c>
    </row>
    <row r="188" spans="1:1" ht="22" customHeight="1" x14ac:dyDescent="0.2">
      <c r="A188" s="218" t="s">
        <v>242</v>
      </c>
    </row>
    <row r="189" spans="1:1" ht="18" x14ac:dyDescent="0.2">
      <c r="A189" s="591" t="s">
        <v>243</v>
      </c>
    </row>
    <row r="190" spans="1:1" ht="18" x14ac:dyDescent="0.2">
      <c r="A190" s="591" t="s">
        <v>244</v>
      </c>
    </row>
    <row r="191" spans="1:1" ht="18" x14ac:dyDescent="0.2">
      <c r="A191" s="591" t="s">
        <v>245</v>
      </c>
    </row>
    <row r="192" spans="1:1" ht="18" x14ac:dyDescent="0.2">
      <c r="A192" s="218" t="s">
        <v>246</v>
      </c>
    </row>
    <row r="193" spans="1:1" ht="18" x14ac:dyDescent="0.2">
      <c r="A193" s="218" t="s">
        <v>247</v>
      </c>
    </row>
    <row r="194" spans="1:1" ht="18" x14ac:dyDescent="0.2">
      <c r="A194" s="218" t="s">
        <v>248</v>
      </c>
    </row>
    <row r="195" spans="1:1" ht="18" x14ac:dyDescent="0.2">
      <c r="A195" s="218" t="s">
        <v>249</v>
      </c>
    </row>
    <row r="196" spans="1:1" ht="18" x14ac:dyDescent="0.2">
      <c r="A196" s="218" t="s">
        <v>250</v>
      </c>
    </row>
    <row r="197" spans="1:1" ht="18" x14ac:dyDescent="0.2">
      <c r="A197" s="218" t="s">
        <v>251</v>
      </c>
    </row>
    <row r="198" spans="1:1" ht="18" x14ac:dyDescent="0.2">
      <c r="A198" s="218" t="s">
        <v>252</v>
      </c>
    </row>
    <row r="199" spans="1:1" ht="18" x14ac:dyDescent="0.2">
      <c r="A199" s="218" t="s">
        <v>253</v>
      </c>
    </row>
    <row r="200" spans="1:1" ht="18" x14ac:dyDescent="0.2">
      <c r="A200" s="218" t="s">
        <v>254</v>
      </c>
    </row>
    <row r="201" spans="1:1" ht="18" x14ac:dyDescent="0.2">
      <c r="A201" s="218" t="s">
        <v>255</v>
      </c>
    </row>
    <row r="202" spans="1:1" ht="18" x14ac:dyDescent="0.2">
      <c r="A202" s="218" t="s">
        <v>256</v>
      </c>
    </row>
    <row r="203" spans="1:1" ht="18" x14ac:dyDescent="0.2">
      <c r="A203" s="218" t="s">
        <v>257</v>
      </c>
    </row>
    <row r="204" spans="1:1" ht="18" x14ac:dyDescent="0.2">
      <c r="A204" s="218" t="s">
        <v>258</v>
      </c>
    </row>
    <row r="205" spans="1:1" ht="18" x14ac:dyDescent="0.2">
      <c r="A205" s="218" t="s">
        <v>259</v>
      </c>
    </row>
    <row r="206" spans="1:1" ht="18" x14ac:dyDescent="0.2">
      <c r="A206" s="218" t="s">
        <v>260</v>
      </c>
    </row>
    <row r="207" spans="1:1" ht="18" x14ac:dyDescent="0.2">
      <c r="A207" s="218" t="s">
        <v>261</v>
      </c>
    </row>
    <row r="208" spans="1:1" ht="18" x14ac:dyDescent="0.2">
      <c r="A208" s="218" t="s">
        <v>262</v>
      </c>
    </row>
    <row r="209" spans="1:1" ht="18" x14ac:dyDescent="0.2">
      <c r="A209" s="218" t="s">
        <v>263</v>
      </c>
    </row>
    <row r="210" spans="1:1" ht="18" x14ac:dyDescent="0.2">
      <c r="A210" s="218" t="s">
        <v>264</v>
      </c>
    </row>
    <row r="211" spans="1:1" ht="18" x14ac:dyDescent="0.2">
      <c r="A211" s="218" t="s">
        <v>265</v>
      </c>
    </row>
    <row r="212" spans="1:1" ht="18" x14ac:dyDescent="0.2">
      <c r="A212" s="218" t="s">
        <v>266</v>
      </c>
    </row>
    <row r="213" spans="1:1" ht="18" x14ac:dyDescent="0.2">
      <c r="A213" s="218" t="s">
        <v>267</v>
      </c>
    </row>
    <row r="214" spans="1:1" ht="18" x14ac:dyDescent="0.2">
      <c r="A214" s="218"/>
    </row>
    <row r="215" spans="1:1" ht="18" x14ac:dyDescent="0.2">
      <c r="A215" s="218" t="s">
        <v>268</v>
      </c>
    </row>
    <row r="216" spans="1:1" ht="18" x14ac:dyDescent="0.2">
      <c r="A216" s="218" t="s">
        <v>269</v>
      </c>
    </row>
    <row r="217" spans="1:1" ht="18" x14ac:dyDescent="0.2">
      <c r="A217" s="218" t="s">
        <v>270</v>
      </c>
    </row>
    <row r="218" spans="1:1" ht="18" x14ac:dyDescent="0.2">
      <c r="A218" s="218" t="s">
        <v>271</v>
      </c>
    </row>
    <row r="219" spans="1:1" ht="18" x14ac:dyDescent="0.2">
      <c r="A219" s="218" t="s">
        <v>272</v>
      </c>
    </row>
    <row r="220" spans="1:1" ht="18" x14ac:dyDescent="0.2">
      <c r="A220" s="218" t="s">
        <v>273</v>
      </c>
    </row>
    <row r="221" spans="1:1" ht="18" x14ac:dyDescent="0.2">
      <c r="A221" s="218" t="s">
        <v>274</v>
      </c>
    </row>
    <row r="222" spans="1:1" ht="18" x14ac:dyDescent="0.2">
      <c r="A222" s="218" t="s">
        <v>275</v>
      </c>
    </row>
    <row r="223" spans="1:1" ht="18" x14ac:dyDescent="0.2">
      <c r="A223" s="218" t="s">
        <v>276</v>
      </c>
    </row>
    <row r="224" spans="1:1" ht="18" x14ac:dyDescent="0.2">
      <c r="A224" s="218" t="s">
        <v>277</v>
      </c>
    </row>
    <row r="225" spans="1:1" ht="18" x14ac:dyDescent="0.2">
      <c r="A225" s="218" t="s">
        <v>278</v>
      </c>
    </row>
    <row r="226" spans="1:1" ht="18" x14ac:dyDescent="0.2">
      <c r="A226" s="218" t="s">
        <v>279</v>
      </c>
    </row>
    <row r="227" spans="1:1" ht="18" x14ac:dyDescent="0.2">
      <c r="A227" s="218" t="s">
        <v>280</v>
      </c>
    </row>
    <row r="228" spans="1:1" ht="18" x14ac:dyDescent="0.2">
      <c r="A228" s="218" t="s">
        <v>281</v>
      </c>
    </row>
    <row r="229" spans="1:1" ht="18" x14ac:dyDescent="0.2">
      <c r="A229" s="218" t="s">
        <v>282</v>
      </c>
    </row>
    <row r="230" spans="1:1" ht="18" x14ac:dyDescent="0.2">
      <c r="A230" s="218" t="s">
        <v>283</v>
      </c>
    </row>
    <row r="231" spans="1:1" ht="18" x14ac:dyDescent="0.2">
      <c r="A231" s="218" t="s">
        <v>284</v>
      </c>
    </row>
    <row r="232" spans="1:1" ht="18" x14ac:dyDescent="0.2">
      <c r="A232" s="218" t="s">
        <v>285</v>
      </c>
    </row>
    <row r="233" spans="1:1" ht="18" x14ac:dyDescent="0.2">
      <c r="A233" s="218"/>
    </row>
    <row r="234" spans="1:1" ht="18" x14ac:dyDescent="0.2">
      <c r="A234" s="218" t="s">
        <v>286</v>
      </c>
    </row>
    <row r="235" spans="1:1" ht="18" x14ac:dyDescent="0.2">
      <c r="A235" s="218" t="s">
        <v>287</v>
      </c>
    </row>
    <row r="236" spans="1:1" ht="18" x14ac:dyDescent="0.2">
      <c r="A236" s="218" t="s">
        <v>288</v>
      </c>
    </row>
    <row r="237" spans="1:1" ht="18" x14ac:dyDescent="0.2">
      <c r="A237" s="218"/>
    </row>
    <row r="238" spans="1:1" ht="18" x14ac:dyDescent="0.2">
      <c r="A238" s="218"/>
    </row>
    <row r="239" spans="1:1" ht="18" x14ac:dyDescent="0.2">
      <c r="A239" s="274" t="s">
        <v>289</v>
      </c>
    </row>
    <row r="240" spans="1:1" ht="18" x14ac:dyDescent="0.2">
      <c r="A240" s="274" t="s">
        <v>290</v>
      </c>
    </row>
    <row r="241" spans="1:1" ht="19" x14ac:dyDescent="0.2">
      <c r="A241" s="271" t="s">
        <v>291</v>
      </c>
    </row>
    <row r="242" spans="1:1" ht="19" x14ac:dyDescent="0.2">
      <c r="A242" s="271" t="s">
        <v>292</v>
      </c>
    </row>
    <row r="243" spans="1:1" ht="18" x14ac:dyDescent="0.2">
      <c r="A243" s="274"/>
    </row>
    <row r="244" spans="1:1" ht="18" x14ac:dyDescent="0.2">
      <c r="A244" s="274" t="s">
        <v>293</v>
      </c>
    </row>
    <row r="245" spans="1:1" ht="18" x14ac:dyDescent="0.2">
      <c r="A245" s="274" t="s">
        <v>294</v>
      </c>
    </row>
    <row r="246" spans="1:1" ht="18" x14ac:dyDescent="0.2">
      <c r="A246" s="274" t="s">
        <v>295</v>
      </c>
    </row>
    <row r="247" spans="1:1" ht="18" x14ac:dyDescent="0.2">
      <c r="A247" s="274" t="s">
        <v>296</v>
      </c>
    </row>
    <row r="248" spans="1:1" ht="18" x14ac:dyDescent="0.2">
      <c r="A248" s="274" t="s">
        <v>297</v>
      </c>
    </row>
    <row r="249" spans="1:1" ht="18" x14ac:dyDescent="0.2">
      <c r="A249" s="218" t="s">
        <v>298</v>
      </c>
    </row>
    <row r="250" spans="1:1" ht="18" x14ac:dyDescent="0.2">
      <c r="A250" s="591" t="s">
        <v>299</v>
      </c>
    </row>
    <row r="251" spans="1:1" ht="18" x14ac:dyDescent="0.2">
      <c r="A251" s="591" t="s">
        <v>300</v>
      </c>
    </row>
    <row r="252" spans="1:1" ht="18" x14ac:dyDescent="0.2">
      <c r="A252" s="592" t="s">
        <v>301</v>
      </c>
    </row>
    <row r="253" spans="1:1" ht="18" x14ac:dyDescent="0.2">
      <c r="A253" s="592" t="s">
        <v>302</v>
      </c>
    </row>
    <row r="254" spans="1:1" ht="18" x14ac:dyDescent="0.2">
      <c r="A254" s="592"/>
    </row>
    <row r="255" spans="1:1" ht="18" x14ac:dyDescent="0.2">
      <c r="A255" s="592" t="s">
        <v>303</v>
      </c>
    </row>
    <row r="256" spans="1:1" ht="18" x14ac:dyDescent="0.2">
      <c r="A256" s="588" t="s">
        <v>304</v>
      </c>
    </row>
    <row r="257" spans="1:1" ht="18" x14ac:dyDescent="0.2">
      <c r="A257" s="593" t="s">
        <v>305</v>
      </c>
    </row>
    <row r="258" spans="1:1" ht="18" x14ac:dyDescent="0.2">
      <c r="A258" s="269" t="s">
        <v>306</v>
      </c>
    </row>
    <row r="259" spans="1:1" ht="18" x14ac:dyDescent="0.2">
      <c r="A259" s="269" t="s">
        <v>307</v>
      </c>
    </row>
    <row r="260" spans="1:1" ht="18" x14ac:dyDescent="0.2">
      <c r="A260" s="593" t="s">
        <v>308</v>
      </c>
    </row>
    <row r="261" spans="1:1" ht="18" x14ac:dyDescent="0.2">
      <c r="A261" s="593" t="s">
        <v>309</v>
      </c>
    </row>
    <row r="262" spans="1:1" ht="18" x14ac:dyDescent="0.2">
      <c r="A262" s="593" t="s">
        <v>310</v>
      </c>
    </row>
    <row r="263" spans="1:1" ht="18" x14ac:dyDescent="0.2">
      <c r="A263" s="593" t="s">
        <v>311</v>
      </c>
    </row>
    <row r="264" spans="1:1" ht="18" x14ac:dyDescent="0.2">
      <c r="A264" s="593" t="s">
        <v>312</v>
      </c>
    </row>
    <row r="265" spans="1:1" ht="18" x14ac:dyDescent="0.2">
      <c r="A265" s="593" t="s">
        <v>313</v>
      </c>
    </row>
    <row r="266" spans="1:1" ht="18" x14ac:dyDescent="0.2">
      <c r="A266" s="593" t="s">
        <v>314</v>
      </c>
    </row>
    <row r="267" spans="1:1" ht="18" x14ac:dyDescent="0.2">
      <c r="A267" s="593"/>
    </row>
    <row r="268" spans="1:1" ht="18" x14ac:dyDescent="0.2">
      <c r="A268" s="593"/>
    </row>
    <row r="269" spans="1:1" ht="18" x14ac:dyDescent="0.2">
      <c r="A269" s="588"/>
    </row>
    <row r="270" spans="1:1" ht="18" x14ac:dyDescent="0.2">
      <c r="A270" s="588" t="s">
        <v>315</v>
      </c>
    </row>
    <row r="271" spans="1:1" ht="18" x14ac:dyDescent="0.2">
      <c r="A271" s="588" t="s">
        <v>316</v>
      </c>
    </row>
    <row r="272" spans="1:1" ht="18" x14ac:dyDescent="0.2">
      <c r="A272" s="588"/>
    </row>
    <row r="273" spans="1:1" ht="18" x14ac:dyDescent="0.2">
      <c r="A273" s="588" t="s">
        <v>317</v>
      </c>
    </row>
    <row r="274" spans="1:1" ht="18" x14ac:dyDescent="0.2">
      <c r="A274" s="588" t="s">
        <v>318</v>
      </c>
    </row>
    <row r="275" spans="1:1" ht="18" x14ac:dyDescent="0.2">
      <c r="A275" s="588" t="s">
        <v>319</v>
      </c>
    </row>
    <row r="276" spans="1:1" ht="18" x14ac:dyDescent="0.2">
      <c r="A276" s="588" t="s">
        <v>320</v>
      </c>
    </row>
    <row r="277" spans="1:1" ht="18" x14ac:dyDescent="0.2">
      <c r="A277" s="588"/>
    </row>
    <row r="278" spans="1:1" ht="18" x14ac:dyDescent="0.2">
      <c r="A278" s="588" t="s">
        <v>321</v>
      </c>
    </row>
    <row r="279" spans="1:1" ht="18" x14ac:dyDescent="0.2">
      <c r="A279" s="588"/>
    </row>
    <row r="280" spans="1:1" ht="18" x14ac:dyDescent="0.2">
      <c r="A280" s="588" t="s">
        <v>322</v>
      </c>
    </row>
    <row r="281" spans="1:1" ht="18" x14ac:dyDescent="0.2">
      <c r="A281" s="588" t="s">
        <v>323</v>
      </c>
    </row>
    <row r="282" spans="1:1" ht="18" x14ac:dyDescent="0.2">
      <c r="A282" s="275"/>
    </row>
    <row r="283" spans="1:1" ht="18" x14ac:dyDescent="0.2">
      <c r="A283" s="589" t="s">
        <v>324</v>
      </c>
    </row>
    <row r="284" spans="1:1" ht="18" x14ac:dyDescent="0.2">
      <c r="A284" s="589" t="s">
        <v>325</v>
      </c>
    </row>
    <row r="285" spans="1:1" ht="18" x14ac:dyDescent="0.2">
      <c r="A285" s="589" t="s">
        <v>326</v>
      </c>
    </row>
    <row r="286" spans="1:1" ht="18" x14ac:dyDescent="0.2">
      <c r="A286" s="275" t="s">
        <v>327</v>
      </c>
    </row>
    <row r="287" spans="1:1" ht="18" x14ac:dyDescent="0.2">
      <c r="A287" s="275" t="s">
        <v>328</v>
      </c>
    </row>
    <row r="288" spans="1:1" ht="18" x14ac:dyDescent="0.2">
      <c r="A288" s="275" t="s">
        <v>329</v>
      </c>
    </row>
    <row r="289" spans="1:1" ht="18" x14ac:dyDescent="0.2">
      <c r="A289" s="275" t="s">
        <v>330</v>
      </c>
    </row>
    <row r="290" spans="1:1" ht="18" x14ac:dyDescent="0.2">
      <c r="A290" s="275" t="s">
        <v>331</v>
      </c>
    </row>
    <row r="291" spans="1:1" ht="18" x14ac:dyDescent="0.2">
      <c r="A291" s="275"/>
    </row>
    <row r="292" spans="1:1" ht="18" x14ac:dyDescent="0.2">
      <c r="A292" s="275"/>
    </row>
    <row r="293" spans="1:1" ht="18" x14ac:dyDescent="0.2">
      <c r="A293" s="275"/>
    </row>
    <row r="294" spans="1:1" ht="18" x14ac:dyDescent="0.2">
      <c r="A294" s="275" t="s">
        <v>332</v>
      </c>
    </row>
    <row r="295" spans="1:1" ht="18" x14ac:dyDescent="0.2">
      <c r="A295" s="588" t="s">
        <v>333</v>
      </c>
    </row>
    <row r="296" spans="1:1" ht="18" x14ac:dyDescent="0.2">
      <c r="A296" s="588" t="s">
        <v>334</v>
      </c>
    </row>
    <row r="298" spans="1:1" ht="18" x14ac:dyDescent="0.2">
      <c r="A298" s="588" t="s">
        <v>335</v>
      </c>
    </row>
    <row r="299" spans="1:1" ht="18" x14ac:dyDescent="0.2">
      <c r="A299" s="588"/>
    </row>
    <row r="300" spans="1:1" ht="18" x14ac:dyDescent="0.2">
      <c r="A300" s="588"/>
    </row>
    <row r="301" spans="1:1" ht="18" x14ac:dyDescent="0.2">
      <c r="A301" s="588"/>
    </row>
    <row r="302" spans="1:1" ht="18" x14ac:dyDescent="0.2">
      <c r="A302" s="588"/>
    </row>
    <row r="303" spans="1:1" ht="18" x14ac:dyDescent="0.2">
      <c r="A303" s="588"/>
    </row>
    <row r="304" spans="1:1" ht="18" x14ac:dyDescent="0.2">
      <c r="A304" s="588"/>
    </row>
    <row r="305" spans="1:1" ht="18" x14ac:dyDescent="0.2">
      <c r="A305" s="588"/>
    </row>
    <row r="306" spans="1:1" ht="18" x14ac:dyDescent="0.2">
      <c r="A306" s="588"/>
    </row>
    <row r="307" spans="1:1" ht="18" x14ac:dyDescent="0.2">
      <c r="A307" s="588"/>
    </row>
    <row r="308" spans="1:1" ht="18" x14ac:dyDescent="0.2">
      <c r="A308" s="588"/>
    </row>
    <row r="309" spans="1:1" ht="18" x14ac:dyDescent="0.2">
      <c r="A309" s="588"/>
    </row>
    <row r="310" spans="1:1" ht="18" x14ac:dyDescent="0.2">
      <c r="A310" s="588"/>
    </row>
    <row r="311" spans="1:1" ht="18" x14ac:dyDescent="0.2">
      <c r="A311" s="588"/>
    </row>
    <row r="312" spans="1:1" ht="18" x14ac:dyDescent="0.2">
      <c r="A312" s="588"/>
    </row>
    <row r="313" spans="1:1" ht="18" x14ac:dyDescent="0.2">
      <c r="A313" s="588"/>
    </row>
    <row r="314" spans="1:1" ht="18" x14ac:dyDescent="0.2">
      <c r="A314" s="588"/>
    </row>
    <row r="315" spans="1:1" ht="18" x14ac:dyDescent="0.2">
      <c r="A315" s="588"/>
    </row>
    <row r="316" spans="1:1" ht="18" x14ac:dyDescent="0.2">
      <c r="A316" s="588"/>
    </row>
    <row r="317" spans="1:1" ht="18" x14ac:dyDescent="0.2">
      <c r="A317" s="588"/>
    </row>
    <row r="318" spans="1:1" ht="18" x14ac:dyDescent="0.2">
      <c r="A318" s="588"/>
    </row>
    <row r="319" spans="1:1" ht="18" x14ac:dyDescent="0.2">
      <c r="A319" s="588"/>
    </row>
    <row r="320" spans="1:1" ht="18" x14ac:dyDescent="0.2">
      <c r="A320" s="588"/>
    </row>
    <row r="321" spans="1:1" ht="18" x14ac:dyDescent="0.2">
      <c r="A321" s="588"/>
    </row>
    <row r="322" spans="1:1" ht="18" x14ac:dyDescent="0.2">
      <c r="A322" s="588"/>
    </row>
    <row r="323" spans="1:1" ht="18" x14ac:dyDescent="0.2">
      <c r="A323" s="588"/>
    </row>
    <row r="325" spans="1:1" ht="18" x14ac:dyDescent="0.2">
      <c r="A325" s="588" t="s">
        <v>336</v>
      </c>
    </row>
    <row r="326" spans="1:1" ht="18" x14ac:dyDescent="0.2">
      <c r="A326" s="588" t="s">
        <v>337</v>
      </c>
    </row>
    <row r="327" spans="1:1" ht="18" x14ac:dyDescent="0.2">
      <c r="A327" s="588" t="s">
        <v>338</v>
      </c>
    </row>
    <row r="328" spans="1:1" ht="18" x14ac:dyDescent="0.2">
      <c r="A328" s="588" t="s">
        <v>339</v>
      </c>
    </row>
    <row r="329" spans="1:1" ht="18" x14ac:dyDescent="0.2">
      <c r="A329" s="588"/>
    </row>
    <row r="330" spans="1:1" x14ac:dyDescent="0.2">
      <c r="A330" s="39" t="s">
        <v>340</v>
      </c>
    </row>
    <row r="331" spans="1:1" x14ac:dyDescent="0.2">
      <c r="A331" s="39" t="s">
        <v>341</v>
      </c>
    </row>
    <row r="333" spans="1:1" ht="15" x14ac:dyDescent="0.2">
      <c r="A333" s="506" t="s">
        <v>342</v>
      </c>
    </row>
    <row r="334" spans="1:1" ht="15" x14ac:dyDescent="0.2">
      <c r="A334" s="506" t="s">
        <v>343</v>
      </c>
    </row>
    <row r="335" spans="1:1" ht="15" x14ac:dyDescent="0.2">
      <c r="A335" s="506" t="s">
        <v>344</v>
      </c>
    </row>
    <row r="336" spans="1:1" ht="15" x14ac:dyDescent="0.2">
      <c r="A336" s="506" t="s">
        <v>345</v>
      </c>
    </row>
    <row r="337" spans="1:1" x14ac:dyDescent="0.2">
      <c r="A337" s="39" t="s">
        <v>346</v>
      </c>
    </row>
    <row r="338" spans="1:1" x14ac:dyDescent="0.2">
      <c r="A338" s="39" t="s">
        <v>347</v>
      </c>
    </row>
  </sheetData>
  <conditionalFormatting sqref="A104:A147 A187:A188 A192:A238">
    <cfRule type="cellIs" dxfId="125" priority="1" operator="lessThan">
      <formula>0</formula>
    </cfRule>
  </conditionalFormatting>
  <conditionalFormatting sqref="A281:A285">
    <cfRule type="cellIs" dxfId="124" priority="16" operator="lessThan">
      <formula>0</formula>
    </cfRule>
  </conditionalFormatting>
  <conditionalFormatting sqref="D74 C92:C93 D94:D95 C96:C119 A286:A294">
    <cfRule type="cellIs" dxfId="123" priority="29"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1C380-387C-4085-8860-B6631130DC9F}">
  <sheetPr>
    <tabColor theme="9" tint="0.59999389629810485"/>
  </sheetPr>
  <dimension ref="A1:AL801"/>
  <sheetViews>
    <sheetView zoomScaleNormal="143" zoomScalePageLayoutView="143" workbookViewId="0">
      <pane ySplit="1" topLeftCell="A2" activePane="bottomLeft" state="frozen"/>
      <selection pane="bottomLeft" activeCell="A14" sqref="A14"/>
    </sheetView>
  </sheetViews>
  <sheetFormatPr baseColWidth="10" defaultColWidth="10.83203125" defaultRowHeight="15" x14ac:dyDescent="0.2"/>
  <cols>
    <col min="1" max="1" width="32.5" style="40" customWidth="1"/>
    <col min="2" max="2" width="14" customWidth="1"/>
    <col min="3" max="3" width="12.83203125" style="139" customWidth="1"/>
    <col min="4" max="4" width="23.1640625" customWidth="1"/>
    <col min="5" max="5" width="247.5" hidden="1" customWidth="1"/>
    <col min="6" max="6" width="45.83203125" customWidth="1"/>
    <col min="7" max="7" width="68.33203125" customWidth="1"/>
  </cols>
  <sheetData>
    <row r="1" spans="1:7" x14ac:dyDescent="0.2">
      <c r="A1" s="295" t="s">
        <v>348</v>
      </c>
      <c r="B1" s="296" t="s">
        <v>349</v>
      </c>
      <c r="C1" s="299" t="s">
        <v>350</v>
      </c>
      <c r="D1" s="300" t="s">
        <v>351</v>
      </c>
      <c r="E1" s="294" t="s">
        <v>352</v>
      </c>
      <c r="F1" s="297" t="s">
        <v>353</v>
      </c>
      <c r="G1" s="298" t="s">
        <v>354</v>
      </c>
    </row>
    <row r="2" spans="1:7" x14ac:dyDescent="0.2">
      <c r="B2" s="41"/>
      <c r="C2" s="131"/>
      <c r="D2" s="132"/>
      <c r="E2" s="132"/>
    </row>
    <row r="3" spans="1:7" x14ac:dyDescent="0.2">
      <c r="B3" s="41"/>
      <c r="C3" s="131"/>
      <c r="D3" s="132"/>
      <c r="E3" s="132"/>
    </row>
    <row r="4" spans="1:7" x14ac:dyDescent="0.2">
      <c r="B4" s="41"/>
      <c r="C4" s="131"/>
      <c r="D4" s="132"/>
      <c r="E4" s="132"/>
    </row>
    <row r="5" spans="1:7" x14ac:dyDescent="0.2">
      <c r="B5" s="41"/>
      <c r="C5" s="131"/>
      <c r="D5" s="132"/>
      <c r="E5" s="132"/>
      <c r="F5" s="498"/>
    </row>
    <row r="6" spans="1:7" x14ac:dyDescent="0.2">
      <c r="B6" s="41"/>
      <c r="C6" s="131"/>
      <c r="D6" s="132"/>
      <c r="E6" s="132"/>
      <c r="F6" s="498"/>
    </row>
    <row r="7" spans="1:7" x14ac:dyDescent="0.2">
      <c r="B7" s="41"/>
      <c r="C7" s="131"/>
      <c r="D7" s="132"/>
      <c r="E7" s="132"/>
      <c r="F7" s="498"/>
    </row>
    <row r="8" spans="1:7" x14ac:dyDescent="0.2">
      <c r="B8" s="41"/>
      <c r="C8" s="131"/>
      <c r="D8" s="132"/>
      <c r="E8" s="132"/>
      <c r="F8" s="498"/>
    </row>
    <row r="9" spans="1:7" x14ac:dyDescent="0.2">
      <c r="B9" s="41"/>
      <c r="C9" s="131"/>
      <c r="D9" s="132"/>
      <c r="E9" s="132"/>
    </row>
    <row r="10" spans="1:7" x14ac:dyDescent="0.2">
      <c r="B10" s="41"/>
      <c r="C10" s="131"/>
      <c r="D10" s="132"/>
      <c r="E10" s="132"/>
    </row>
    <row r="11" spans="1:7" x14ac:dyDescent="0.2">
      <c r="B11" s="41"/>
      <c r="C11" s="131"/>
      <c r="D11" s="132"/>
      <c r="E11" s="132"/>
      <c r="F11" s="498"/>
    </row>
    <row r="12" spans="1:7" x14ac:dyDescent="0.2">
      <c r="B12" s="41"/>
      <c r="C12" s="131"/>
      <c r="D12" s="132"/>
      <c r="E12" s="132"/>
      <c r="F12" s="498"/>
    </row>
    <row r="13" spans="1:7" x14ac:dyDescent="0.2">
      <c r="B13" s="41"/>
      <c r="C13" s="131"/>
      <c r="D13" s="132"/>
      <c r="E13" s="132"/>
    </row>
    <row r="14" spans="1:7" x14ac:dyDescent="0.2">
      <c r="B14" s="41"/>
      <c r="C14" s="131"/>
      <c r="D14" s="132"/>
      <c r="E14" s="132"/>
      <c r="F14" s="498"/>
    </row>
    <row r="15" spans="1:7" x14ac:dyDescent="0.2">
      <c r="B15" s="41"/>
      <c r="C15" s="131"/>
      <c r="D15" s="132"/>
      <c r="E15" s="132"/>
    </row>
    <row r="16" spans="1:7" x14ac:dyDescent="0.2">
      <c r="B16" s="41"/>
      <c r="C16" s="131"/>
      <c r="D16" s="132"/>
      <c r="E16" s="132"/>
    </row>
    <row r="17" spans="2:6" x14ac:dyDescent="0.2">
      <c r="B17" s="41"/>
      <c r="C17" s="131"/>
      <c r="D17" s="132"/>
      <c r="E17" s="132"/>
    </row>
    <row r="18" spans="2:6" x14ac:dyDescent="0.2">
      <c r="B18" s="41"/>
      <c r="C18" s="131"/>
      <c r="D18" s="132"/>
      <c r="E18" s="132"/>
    </row>
    <row r="19" spans="2:6" x14ac:dyDescent="0.2">
      <c r="B19" s="41"/>
      <c r="C19" s="131"/>
      <c r="D19" s="132"/>
      <c r="E19" s="132"/>
    </row>
    <row r="20" spans="2:6" x14ac:dyDescent="0.2">
      <c r="B20" s="41"/>
      <c r="C20" s="131"/>
      <c r="D20" s="132"/>
      <c r="E20" s="132"/>
    </row>
    <row r="21" spans="2:6" x14ac:dyDescent="0.2">
      <c r="B21" s="41"/>
      <c r="C21" s="131"/>
      <c r="D21" s="132"/>
      <c r="E21" s="132"/>
    </row>
    <row r="22" spans="2:6" x14ac:dyDescent="0.2">
      <c r="B22" s="41"/>
      <c r="C22" s="131"/>
      <c r="D22" s="132"/>
      <c r="E22" s="132"/>
    </row>
    <row r="23" spans="2:6" x14ac:dyDescent="0.2">
      <c r="B23" s="41"/>
      <c r="C23" s="131"/>
      <c r="D23" s="132"/>
      <c r="E23" s="132"/>
    </row>
    <row r="24" spans="2:6" x14ac:dyDescent="0.2">
      <c r="B24" s="41"/>
      <c r="C24" s="131"/>
      <c r="D24" s="132"/>
      <c r="E24" s="132"/>
    </row>
    <row r="25" spans="2:6" x14ac:dyDescent="0.2">
      <c r="B25" s="41"/>
      <c r="C25" s="131"/>
      <c r="D25" s="132"/>
      <c r="E25" s="132"/>
      <c r="F25" s="498"/>
    </row>
    <row r="26" spans="2:6" x14ac:dyDescent="0.2">
      <c r="B26" s="41"/>
      <c r="C26" s="131"/>
      <c r="D26" s="132"/>
      <c r="E26" s="132"/>
    </row>
    <row r="27" spans="2:6" x14ac:dyDescent="0.2">
      <c r="B27" s="41"/>
      <c r="C27" s="131"/>
      <c r="D27" s="132"/>
      <c r="E27" s="132"/>
    </row>
    <row r="28" spans="2:6" x14ac:dyDescent="0.2">
      <c r="B28" s="41"/>
      <c r="C28" s="131"/>
      <c r="D28" s="132"/>
      <c r="E28" s="132"/>
    </row>
    <row r="29" spans="2:6" x14ac:dyDescent="0.2">
      <c r="B29" s="41"/>
      <c r="C29" s="131"/>
      <c r="D29" s="132"/>
      <c r="E29" s="132"/>
      <c r="F29" s="498"/>
    </row>
    <row r="30" spans="2:6" x14ac:dyDescent="0.2">
      <c r="B30" s="41"/>
      <c r="C30" s="131"/>
      <c r="D30" s="132"/>
      <c r="E30" s="132"/>
    </row>
    <row r="31" spans="2:6" x14ac:dyDescent="0.2">
      <c r="B31" s="41"/>
      <c r="C31" s="131"/>
      <c r="D31" s="132"/>
      <c r="E31" s="132"/>
      <c r="F31" s="498"/>
    </row>
    <row r="32" spans="2:6" x14ac:dyDescent="0.2">
      <c r="B32" s="41"/>
      <c r="C32" s="131"/>
      <c r="D32" s="132"/>
      <c r="E32" s="132"/>
    </row>
    <row r="33" spans="2:6" x14ac:dyDescent="0.2">
      <c r="B33" s="41"/>
      <c r="C33" s="131"/>
      <c r="D33" s="132"/>
      <c r="E33" s="132"/>
    </row>
    <row r="34" spans="2:6" x14ac:dyDescent="0.2">
      <c r="B34" s="41"/>
      <c r="C34" s="131"/>
      <c r="D34" s="132"/>
      <c r="E34" s="132"/>
    </row>
    <row r="35" spans="2:6" x14ac:dyDescent="0.2">
      <c r="B35" s="41"/>
      <c r="C35" s="131"/>
      <c r="D35" s="132"/>
      <c r="E35" s="132"/>
      <c r="F35" s="498"/>
    </row>
    <row r="36" spans="2:6" x14ac:dyDescent="0.2">
      <c r="B36" s="41"/>
      <c r="C36" s="131"/>
      <c r="D36" s="132"/>
      <c r="E36" s="132"/>
      <c r="F36" s="498"/>
    </row>
    <row r="37" spans="2:6" x14ac:dyDescent="0.2">
      <c r="B37" s="41"/>
      <c r="C37" s="131"/>
      <c r="D37" s="132"/>
      <c r="E37" s="132"/>
      <c r="F37" s="498"/>
    </row>
    <row r="38" spans="2:6" x14ac:dyDescent="0.2">
      <c r="B38" s="41"/>
      <c r="C38" s="131"/>
      <c r="D38" s="132"/>
      <c r="E38" s="132"/>
    </row>
    <row r="39" spans="2:6" x14ac:dyDescent="0.2">
      <c r="B39" s="41"/>
      <c r="C39" s="131"/>
      <c r="D39" s="132"/>
      <c r="E39" s="132"/>
      <c r="F39" s="498"/>
    </row>
    <row r="40" spans="2:6" x14ac:dyDescent="0.2">
      <c r="B40" s="41"/>
      <c r="C40" s="131"/>
      <c r="D40" s="132"/>
      <c r="E40" s="132"/>
      <c r="F40" s="498"/>
    </row>
    <row r="41" spans="2:6" x14ac:dyDescent="0.2">
      <c r="B41" s="41"/>
      <c r="C41" s="131"/>
      <c r="D41" s="132"/>
      <c r="E41" s="132"/>
      <c r="F41" s="498"/>
    </row>
    <row r="42" spans="2:6" x14ac:dyDescent="0.2">
      <c r="B42" s="41"/>
      <c r="C42" s="131"/>
      <c r="D42" s="132"/>
      <c r="E42" s="132"/>
      <c r="F42" s="498"/>
    </row>
    <row r="43" spans="2:6" x14ac:dyDescent="0.2">
      <c r="B43" s="41"/>
      <c r="C43" s="131"/>
      <c r="D43" s="132"/>
      <c r="E43" s="132"/>
      <c r="F43" s="498"/>
    </row>
    <row r="44" spans="2:6" x14ac:dyDescent="0.2">
      <c r="B44" s="41"/>
      <c r="C44" s="131"/>
      <c r="D44" s="132"/>
      <c r="E44" s="132"/>
      <c r="F44" s="498"/>
    </row>
    <row r="45" spans="2:6" x14ac:dyDescent="0.2">
      <c r="B45" s="41"/>
      <c r="C45" s="131"/>
      <c r="D45" s="132"/>
      <c r="E45" s="132"/>
    </row>
    <row r="46" spans="2:6" x14ac:dyDescent="0.2">
      <c r="B46" s="41"/>
      <c r="C46" s="131"/>
      <c r="D46" s="132"/>
      <c r="E46" s="132"/>
    </row>
    <row r="47" spans="2:6" x14ac:dyDescent="0.2">
      <c r="B47" s="41"/>
      <c r="C47" s="131"/>
      <c r="D47" s="132"/>
      <c r="E47" s="132"/>
    </row>
    <row r="48" spans="2:6" x14ac:dyDescent="0.2">
      <c r="B48" s="41"/>
      <c r="C48" s="131"/>
      <c r="D48" s="132"/>
      <c r="E48" s="132"/>
    </row>
    <row r="49" spans="2:6" x14ac:dyDescent="0.2">
      <c r="B49" s="41"/>
      <c r="C49" s="131"/>
      <c r="D49" s="132"/>
      <c r="E49" s="132"/>
    </row>
    <row r="50" spans="2:6" x14ac:dyDescent="0.2">
      <c r="B50" s="41"/>
      <c r="C50" s="131"/>
      <c r="D50" s="132"/>
      <c r="E50" s="132"/>
    </row>
    <row r="51" spans="2:6" x14ac:dyDescent="0.2">
      <c r="B51" s="41"/>
      <c r="C51" s="131"/>
      <c r="D51" s="132"/>
      <c r="E51" s="132"/>
    </row>
    <row r="52" spans="2:6" x14ac:dyDescent="0.2">
      <c r="B52" s="41"/>
      <c r="C52" s="131"/>
      <c r="D52" s="132"/>
      <c r="E52" s="132"/>
    </row>
    <row r="53" spans="2:6" x14ac:dyDescent="0.2">
      <c r="B53" s="41"/>
      <c r="C53" s="131"/>
      <c r="D53" s="132"/>
      <c r="E53" s="132"/>
    </row>
    <row r="54" spans="2:6" x14ac:dyDescent="0.2">
      <c r="B54" s="41"/>
      <c r="C54" s="131"/>
      <c r="D54" s="132"/>
      <c r="E54" s="132"/>
    </row>
    <row r="55" spans="2:6" x14ac:dyDescent="0.2">
      <c r="B55" s="41"/>
      <c r="C55" s="131"/>
      <c r="D55" s="132"/>
      <c r="E55" s="132"/>
    </row>
    <row r="56" spans="2:6" x14ac:dyDescent="0.2">
      <c r="B56" s="41"/>
      <c r="C56" s="131"/>
      <c r="D56" s="132"/>
      <c r="E56" s="132"/>
      <c r="F56" s="498"/>
    </row>
    <row r="57" spans="2:6" x14ac:dyDescent="0.2">
      <c r="B57" s="41"/>
      <c r="C57" s="131"/>
      <c r="D57" s="132"/>
      <c r="E57" s="132"/>
      <c r="F57" s="498"/>
    </row>
    <row r="58" spans="2:6" x14ac:dyDescent="0.2">
      <c r="B58" s="41"/>
      <c r="C58" s="131"/>
      <c r="D58" s="132"/>
      <c r="E58" s="132"/>
    </row>
    <row r="59" spans="2:6" x14ac:dyDescent="0.2">
      <c r="B59" s="41"/>
      <c r="C59" s="131"/>
      <c r="D59" s="132"/>
      <c r="E59" s="132"/>
    </row>
    <row r="60" spans="2:6" x14ac:dyDescent="0.2">
      <c r="B60" s="41"/>
      <c r="C60" s="131"/>
      <c r="D60" s="132"/>
      <c r="E60" s="132"/>
      <c r="F60" s="498"/>
    </row>
    <row r="61" spans="2:6" x14ac:dyDescent="0.2">
      <c r="B61" s="41"/>
      <c r="C61" s="131"/>
      <c r="D61" s="132"/>
      <c r="E61" s="132"/>
      <c r="F61" s="498"/>
    </row>
    <row r="62" spans="2:6" x14ac:dyDescent="0.2">
      <c r="B62" s="41"/>
      <c r="C62" s="131"/>
      <c r="D62" s="132"/>
      <c r="E62" s="132"/>
      <c r="F62" s="498"/>
    </row>
    <row r="63" spans="2:6" x14ac:dyDescent="0.2">
      <c r="B63" s="41"/>
      <c r="C63" s="131"/>
      <c r="D63" s="132"/>
      <c r="E63" s="132"/>
      <c r="F63" s="498"/>
    </row>
    <row r="64" spans="2:6" x14ac:dyDescent="0.2">
      <c r="B64" s="41"/>
      <c r="C64" s="131"/>
      <c r="D64" s="132"/>
      <c r="E64" s="132"/>
      <c r="F64" s="498"/>
    </row>
    <row r="65" spans="2:6" x14ac:dyDescent="0.2">
      <c r="B65" s="41"/>
      <c r="C65" s="131"/>
      <c r="D65" s="132"/>
      <c r="E65" s="132"/>
      <c r="F65" s="498"/>
    </row>
    <row r="66" spans="2:6" x14ac:dyDescent="0.2">
      <c r="B66" s="41"/>
      <c r="C66" s="131"/>
      <c r="D66" s="132"/>
      <c r="E66" s="132"/>
      <c r="F66" s="498"/>
    </row>
    <row r="67" spans="2:6" x14ac:dyDescent="0.2">
      <c r="B67" s="41"/>
      <c r="C67" s="131"/>
      <c r="D67" s="132"/>
      <c r="E67" s="132"/>
      <c r="F67" s="498"/>
    </row>
    <row r="68" spans="2:6" x14ac:dyDescent="0.2">
      <c r="B68" s="41"/>
      <c r="C68" s="131"/>
      <c r="D68" s="132"/>
      <c r="E68" s="132"/>
      <c r="F68" s="498"/>
    </row>
    <row r="69" spans="2:6" x14ac:dyDescent="0.2">
      <c r="B69" s="41"/>
      <c r="C69" s="131"/>
      <c r="D69" s="132"/>
      <c r="E69" s="132"/>
      <c r="F69" s="498"/>
    </row>
    <row r="70" spans="2:6" x14ac:dyDescent="0.2">
      <c r="B70" s="41"/>
      <c r="C70" s="131"/>
      <c r="D70" s="132"/>
      <c r="E70" s="132"/>
      <c r="F70" s="498"/>
    </row>
    <row r="71" spans="2:6" x14ac:dyDescent="0.2">
      <c r="B71" s="41"/>
      <c r="C71" s="131"/>
      <c r="D71" s="132"/>
      <c r="E71" s="132"/>
      <c r="F71" s="498"/>
    </row>
    <row r="72" spans="2:6" x14ac:dyDescent="0.2">
      <c r="B72" s="41"/>
      <c r="C72" s="131"/>
      <c r="D72" s="132"/>
      <c r="E72" s="132"/>
    </row>
    <row r="73" spans="2:6" x14ac:dyDescent="0.2">
      <c r="B73" s="41"/>
      <c r="C73" s="131"/>
      <c r="D73" s="132"/>
      <c r="E73" s="132"/>
    </row>
    <row r="74" spans="2:6" x14ac:dyDescent="0.2">
      <c r="B74" s="41"/>
      <c r="C74" s="131"/>
      <c r="D74" s="132"/>
      <c r="E74" s="132"/>
    </row>
    <row r="75" spans="2:6" x14ac:dyDescent="0.2">
      <c r="B75" s="41"/>
      <c r="C75" s="131"/>
      <c r="D75" s="132"/>
      <c r="E75" s="132"/>
      <c r="F75" s="498"/>
    </row>
    <row r="76" spans="2:6" x14ac:dyDescent="0.2">
      <c r="B76" s="41"/>
      <c r="C76" s="131"/>
      <c r="D76" s="132"/>
      <c r="E76" s="132"/>
    </row>
    <row r="77" spans="2:6" x14ac:dyDescent="0.2">
      <c r="B77" s="41"/>
      <c r="C77" s="131"/>
      <c r="D77" s="132"/>
      <c r="E77" s="132"/>
    </row>
    <row r="78" spans="2:6" x14ac:dyDescent="0.2">
      <c r="B78" s="41"/>
      <c r="C78" s="131"/>
      <c r="D78" s="132"/>
      <c r="E78" s="132"/>
    </row>
    <row r="79" spans="2:6" x14ac:dyDescent="0.2">
      <c r="B79" s="41"/>
      <c r="C79" s="131"/>
      <c r="D79" s="132"/>
      <c r="E79" s="132"/>
      <c r="F79" s="276"/>
    </row>
    <row r="80" spans="2:6" x14ac:dyDescent="0.2">
      <c r="B80" s="41"/>
      <c r="C80" s="131"/>
      <c r="D80" s="132"/>
      <c r="E80" s="132"/>
      <c r="F80" s="498"/>
    </row>
    <row r="81" spans="2:6" x14ac:dyDescent="0.2">
      <c r="B81" s="41"/>
      <c r="C81" s="131"/>
      <c r="D81" s="132"/>
      <c r="E81" s="132"/>
    </row>
    <row r="82" spans="2:6" x14ac:dyDescent="0.2">
      <c r="B82" s="41"/>
      <c r="C82" s="131"/>
      <c r="D82" s="132"/>
      <c r="E82" s="132"/>
    </row>
    <row r="83" spans="2:6" x14ac:dyDescent="0.2">
      <c r="B83" s="41"/>
      <c r="C83" s="131"/>
      <c r="D83" s="132"/>
      <c r="E83" s="132"/>
    </row>
    <row r="84" spans="2:6" x14ac:dyDescent="0.2">
      <c r="B84" s="41"/>
      <c r="C84" s="131"/>
      <c r="D84" s="132"/>
      <c r="E84" s="132"/>
    </row>
    <row r="85" spans="2:6" x14ac:dyDescent="0.2">
      <c r="B85" s="41"/>
      <c r="C85" s="131"/>
      <c r="D85" s="132"/>
      <c r="E85" s="132"/>
    </row>
    <row r="86" spans="2:6" x14ac:dyDescent="0.2">
      <c r="B86" s="41"/>
      <c r="C86" s="131"/>
      <c r="D86" s="132"/>
      <c r="E86" s="132"/>
    </row>
    <row r="87" spans="2:6" x14ac:dyDescent="0.2">
      <c r="B87" s="41"/>
      <c r="C87" s="131"/>
      <c r="D87" s="132"/>
      <c r="E87" s="132"/>
      <c r="F87" s="498"/>
    </row>
    <row r="88" spans="2:6" x14ac:dyDescent="0.2">
      <c r="B88" s="41"/>
      <c r="C88" s="131"/>
      <c r="D88" s="132"/>
      <c r="E88" s="132"/>
      <c r="F88" s="498"/>
    </row>
    <row r="89" spans="2:6" x14ac:dyDescent="0.2">
      <c r="B89" s="41"/>
      <c r="C89" s="131"/>
      <c r="D89" s="132"/>
      <c r="E89" s="132"/>
    </row>
    <row r="90" spans="2:6" x14ac:dyDescent="0.2">
      <c r="B90" s="41"/>
      <c r="C90" s="131"/>
      <c r="D90" s="132"/>
      <c r="E90" s="132"/>
    </row>
    <row r="91" spans="2:6" x14ac:dyDescent="0.2">
      <c r="B91" s="41"/>
      <c r="C91" s="131"/>
      <c r="D91" s="132"/>
      <c r="E91" s="132"/>
    </row>
    <row r="92" spans="2:6" x14ac:dyDescent="0.2">
      <c r="B92" s="41"/>
      <c r="C92" s="131"/>
      <c r="D92" s="132"/>
      <c r="E92" s="132"/>
    </row>
    <row r="93" spans="2:6" x14ac:dyDescent="0.2">
      <c r="B93" s="41"/>
      <c r="C93" s="131"/>
      <c r="D93" s="132"/>
      <c r="E93" s="132"/>
    </row>
    <row r="94" spans="2:6" x14ac:dyDescent="0.2">
      <c r="B94" s="41"/>
      <c r="C94" s="131"/>
      <c r="D94" s="132"/>
      <c r="E94" s="132"/>
    </row>
    <row r="95" spans="2:6" x14ac:dyDescent="0.2">
      <c r="B95" s="41"/>
      <c r="C95" s="131"/>
      <c r="D95" s="132"/>
      <c r="E95" s="132"/>
    </row>
    <row r="96" spans="2:6" x14ac:dyDescent="0.2">
      <c r="B96" s="41"/>
      <c r="C96" s="131"/>
      <c r="D96" s="132"/>
      <c r="E96" s="132"/>
    </row>
    <row r="97" spans="2:6" x14ac:dyDescent="0.2">
      <c r="B97" s="41"/>
      <c r="C97" s="131"/>
      <c r="D97" s="132"/>
      <c r="E97" s="132"/>
      <c r="F97" s="498"/>
    </row>
    <row r="98" spans="2:6" x14ac:dyDescent="0.2">
      <c r="B98" s="41"/>
      <c r="C98" s="131"/>
      <c r="D98" s="132"/>
      <c r="E98" s="132"/>
    </row>
    <row r="99" spans="2:6" x14ac:dyDescent="0.2">
      <c r="B99" s="41"/>
      <c r="C99" s="131"/>
      <c r="D99" s="132"/>
      <c r="E99" s="132"/>
    </row>
    <row r="100" spans="2:6" x14ac:dyDescent="0.2">
      <c r="B100" s="41"/>
      <c r="C100" s="131"/>
      <c r="D100" s="132"/>
      <c r="E100" s="132"/>
    </row>
    <row r="101" spans="2:6" x14ac:dyDescent="0.2">
      <c r="B101" s="41"/>
      <c r="C101" s="131"/>
      <c r="D101" s="132"/>
      <c r="E101" s="132"/>
      <c r="F101" s="498"/>
    </row>
    <row r="102" spans="2:6" x14ac:dyDescent="0.2">
      <c r="B102" s="41"/>
      <c r="C102" s="131"/>
      <c r="D102" s="132"/>
      <c r="E102" s="132"/>
      <c r="F102" s="498"/>
    </row>
    <row r="103" spans="2:6" x14ac:dyDescent="0.2">
      <c r="B103" s="41"/>
      <c r="C103" s="131"/>
      <c r="D103" s="132"/>
      <c r="E103" s="132"/>
      <c r="F103" s="498"/>
    </row>
    <row r="104" spans="2:6" x14ac:dyDescent="0.2">
      <c r="B104" s="41"/>
      <c r="C104" s="131"/>
      <c r="D104" s="132"/>
      <c r="E104" s="132"/>
      <c r="F104" s="498"/>
    </row>
    <row r="105" spans="2:6" x14ac:dyDescent="0.2">
      <c r="B105" s="41"/>
      <c r="C105" s="131"/>
      <c r="D105" s="132"/>
      <c r="E105" s="132"/>
      <c r="F105" s="498"/>
    </row>
    <row r="106" spans="2:6" x14ac:dyDescent="0.2">
      <c r="B106" s="41"/>
      <c r="C106" s="131"/>
      <c r="D106" s="132"/>
      <c r="E106" s="132"/>
      <c r="F106" s="498"/>
    </row>
    <row r="107" spans="2:6" x14ac:dyDescent="0.2">
      <c r="B107" s="41"/>
      <c r="C107" s="131"/>
      <c r="D107" s="132"/>
      <c r="E107" s="132"/>
      <c r="F107" s="498"/>
    </row>
    <row r="108" spans="2:6" x14ac:dyDescent="0.2">
      <c r="B108" s="41"/>
      <c r="C108" s="131"/>
      <c r="D108" s="132"/>
      <c r="E108" s="132"/>
      <c r="F108" s="498"/>
    </row>
    <row r="109" spans="2:6" x14ac:dyDescent="0.2">
      <c r="B109" s="41"/>
      <c r="C109" s="131"/>
      <c r="D109" s="132"/>
      <c r="E109" s="132"/>
    </row>
    <row r="110" spans="2:6" x14ac:dyDescent="0.2">
      <c r="B110" s="41"/>
      <c r="C110" s="131"/>
      <c r="D110" s="132"/>
      <c r="E110" s="132"/>
    </row>
    <row r="111" spans="2:6" x14ac:dyDescent="0.2">
      <c r="B111" s="41"/>
      <c r="C111" s="131"/>
      <c r="D111" s="132"/>
      <c r="E111" s="132"/>
    </row>
    <row r="112" spans="2:6" x14ac:dyDescent="0.2">
      <c r="B112" s="41"/>
      <c r="C112" s="131"/>
      <c r="D112" s="132"/>
      <c r="E112" s="132"/>
      <c r="F112" s="498"/>
    </row>
    <row r="113" spans="2:6" x14ac:dyDescent="0.2">
      <c r="B113" s="41"/>
      <c r="C113" s="131"/>
      <c r="D113" s="132"/>
      <c r="E113" s="132"/>
      <c r="F113" s="498"/>
    </row>
    <row r="114" spans="2:6" x14ac:dyDescent="0.2">
      <c r="B114" s="41"/>
      <c r="C114" s="131"/>
      <c r="D114" s="132"/>
      <c r="E114" s="132"/>
    </row>
    <row r="115" spans="2:6" x14ac:dyDescent="0.2">
      <c r="B115" s="41"/>
      <c r="C115" s="131"/>
      <c r="D115" s="132"/>
      <c r="E115" s="132"/>
    </row>
    <row r="116" spans="2:6" x14ac:dyDescent="0.2">
      <c r="B116" s="41"/>
      <c r="C116" s="131"/>
      <c r="D116" s="132"/>
      <c r="E116" s="132"/>
    </row>
    <row r="117" spans="2:6" x14ac:dyDescent="0.2">
      <c r="B117" s="41"/>
      <c r="C117" s="131"/>
      <c r="D117" s="132"/>
      <c r="E117" s="132"/>
    </row>
    <row r="118" spans="2:6" x14ac:dyDescent="0.2">
      <c r="B118" s="41"/>
      <c r="C118" s="131"/>
      <c r="D118" s="132"/>
      <c r="E118" s="132"/>
    </row>
    <row r="119" spans="2:6" x14ac:dyDescent="0.2">
      <c r="B119" s="41"/>
      <c r="C119" s="131"/>
      <c r="D119" s="132"/>
      <c r="E119" s="132"/>
    </row>
    <row r="120" spans="2:6" x14ac:dyDescent="0.2">
      <c r="B120" s="41"/>
      <c r="C120" s="131"/>
      <c r="D120" s="132"/>
      <c r="E120" s="132"/>
      <c r="F120" s="498"/>
    </row>
    <row r="121" spans="2:6" x14ac:dyDescent="0.2">
      <c r="B121" s="41"/>
      <c r="C121" s="131"/>
      <c r="D121" s="132"/>
      <c r="E121" s="132"/>
      <c r="F121" s="498"/>
    </row>
    <row r="122" spans="2:6" x14ac:dyDescent="0.2">
      <c r="B122" s="41"/>
      <c r="C122" s="131"/>
      <c r="D122" s="132"/>
      <c r="E122" s="132"/>
      <c r="F122" s="498"/>
    </row>
    <row r="123" spans="2:6" x14ac:dyDescent="0.2">
      <c r="B123" s="41"/>
      <c r="C123" s="131"/>
      <c r="D123" s="132"/>
      <c r="E123" s="132"/>
      <c r="F123" s="498"/>
    </row>
    <row r="124" spans="2:6" x14ac:dyDescent="0.2">
      <c r="B124" s="41"/>
      <c r="C124" s="131"/>
      <c r="D124" s="132"/>
      <c r="E124" s="132"/>
      <c r="F124" s="498"/>
    </row>
    <row r="125" spans="2:6" x14ac:dyDescent="0.2">
      <c r="B125" s="41"/>
      <c r="C125" s="131"/>
      <c r="D125" s="132"/>
      <c r="E125" s="132"/>
      <c r="F125" s="498"/>
    </row>
    <row r="126" spans="2:6" x14ac:dyDescent="0.2">
      <c r="B126" s="41"/>
      <c r="C126" s="131"/>
      <c r="D126" s="132"/>
      <c r="E126" s="132"/>
    </row>
    <row r="127" spans="2:6" x14ac:dyDescent="0.2">
      <c r="B127" s="41"/>
      <c r="C127" s="131"/>
      <c r="D127" s="132"/>
      <c r="E127" s="132"/>
      <c r="F127" s="498"/>
    </row>
    <row r="128" spans="2:6" x14ac:dyDescent="0.2">
      <c r="B128" s="41"/>
      <c r="C128" s="131"/>
      <c r="D128" s="132"/>
      <c r="E128" s="132"/>
      <c r="F128" s="498"/>
    </row>
    <row r="129" spans="2:6" x14ac:dyDescent="0.2">
      <c r="B129" s="41"/>
      <c r="C129" s="131"/>
      <c r="D129" s="132"/>
      <c r="E129" s="132"/>
      <c r="F129" s="498"/>
    </row>
    <row r="130" spans="2:6" x14ac:dyDescent="0.2">
      <c r="B130" s="41"/>
      <c r="C130" s="131"/>
      <c r="D130" s="132"/>
      <c r="E130" s="132"/>
    </row>
    <row r="131" spans="2:6" x14ac:dyDescent="0.2">
      <c r="B131" s="41"/>
      <c r="C131" s="131"/>
      <c r="D131" s="132"/>
      <c r="E131" s="132"/>
    </row>
    <row r="132" spans="2:6" x14ac:dyDescent="0.2">
      <c r="B132" s="41"/>
      <c r="C132" s="131"/>
      <c r="D132" s="132"/>
      <c r="E132" s="132"/>
      <c r="F132" s="498"/>
    </row>
    <row r="133" spans="2:6" x14ac:dyDescent="0.2">
      <c r="B133" s="41"/>
      <c r="C133" s="131"/>
      <c r="D133" s="132"/>
      <c r="E133" s="132"/>
    </row>
    <row r="134" spans="2:6" x14ac:dyDescent="0.2">
      <c r="B134" s="41"/>
      <c r="C134" s="131"/>
      <c r="D134" s="132"/>
      <c r="E134" s="132"/>
    </row>
    <row r="135" spans="2:6" x14ac:dyDescent="0.2">
      <c r="B135" s="41"/>
      <c r="C135" s="131"/>
      <c r="D135" s="132"/>
      <c r="E135" s="132"/>
    </row>
    <row r="136" spans="2:6" x14ac:dyDescent="0.2">
      <c r="B136" s="41"/>
      <c r="C136" s="131"/>
      <c r="D136" s="132"/>
      <c r="E136" s="132"/>
    </row>
    <row r="137" spans="2:6" x14ac:dyDescent="0.2">
      <c r="B137" s="41"/>
      <c r="C137" s="131"/>
      <c r="D137" s="132"/>
      <c r="E137" s="132"/>
    </row>
    <row r="138" spans="2:6" x14ac:dyDescent="0.2">
      <c r="B138" s="41"/>
      <c r="C138" s="131"/>
      <c r="D138" s="132"/>
      <c r="E138" s="132"/>
      <c r="F138" s="498"/>
    </row>
    <row r="139" spans="2:6" x14ac:dyDescent="0.2">
      <c r="B139" s="41"/>
      <c r="C139" s="131"/>
      <c r="D139" s="132"/>
      <c r="E139" s="132"/>
      <c r="F139" s="498"/>
    </row>
    <row r="140" spans="2:6" x14ac:dyDescent="0.2">
      <c r="B140" s="41"/>
      <c r="C140" s="131"/>
      <c r="D140" s="132"/>
      <c r="E140" s="132"/>
      <c r="F140" s="498"/>
    </row>
    <row r="141" spans="2:6" x14ac:dyDescent="0.2">
      <c r="B141" s="41"/>
      <c r="C141" s="131"/>
      <c r="D141" s="132"/>
      <c r="E141" s="132"/>
      <c r="F141" s="498"/>
    </row>
    <row r="142" spans="2:6" x14ac:dyDescent="0.2">
      <c r="B142" s="41"/>
      <c r="C142" s="131"/>
      <c r="D142" s="132"/>
      <c r="E142" s="132"/>
      <c r="F142" s="498"/>
    </row>
    <row r="143" spans="2:6" x14ac:dyDescent="0.2">
      <c r="B143" s="41"/>
      <c r="C143" s="131"/>
      <c r="D143" s="132"/>
      <c r="E143" s="132"/>
      <c r="F143" s="498"/>
    </row>
    <row r="144" spans="2:6" x14ac:dyDescent="0.2">
      <c r="B144" s="41"/>
      <c r="C144" s="131"/>
      <c r="D144" s="132"/>
      <c r="E144" s="132"/>
    </row>
    <row r="145" spans="2:6" x14ac:dyDescent="0.2">
      <c r="B145" s="41"/>
      <c r="C145" s="131"/>
      <c r="D145" s="132"/>
    </row>
    <row r="146" spans="2:6" x14ac:dyDescent="0.2">
      <c r="B146" s="41"/>
      <c r="E146" s="132"/>
      <c r="F146" s="500"/>
    </row>
    <row r="147" spans="2:6" x14ac:dyDescent="0.2">
      <c r="B147" s="41"/>
    </row>
    <row r="148" spans="2:6" x14ac:dyDescent="0.2">
      <c r="B148" s="41"/>
    </row>
    <row r="149" spans="2:6" x14ac:dyDescent="0.2">
      <c r="B149" s="41"/>
    </row>
    <row r="150" spans="2:6" x14ac:dyDescent="0.2">
      <c r="B150" s="41"/>
      <c r="F150" s="498"/>
    </row>
    <row r="151" spans="2:6" x14ac:dyDescent="0.2">
      <c r="B151" s="41"/>
    </row>
    <row r="152" spans="2:6" x14ac:dyDescent="0.2">
      <c r="B152" s="41"/>
      <c r="F152" s="498"/>
    </row>
    <row r="153" spans="2:6" x14ac:dyDescent="0.2">
      <c r="B153" s="41"/>
    </row>
    <row r="154" spans="2:6" x14ac:dyDescent="0.2">
      <c r="B154" s="41"/>
      <c r="F154" s="498"/>
    </row>
    <row r="155" spans="2:6" x14ac:dyDescent="0.2">
      <c r="B155" s="41"/>
      <c r="F155" s="498"/>
    </row>
    <row r="156" spans="2:6" x14ac:dyDescent="0.2">
      <c r="B156" s="41"/>
      <c r="F156" s="285"/>
    </row>
    <row r="157" spans="2:6" x14ac:dyDescent="0.2">
      <c r="B157" s="41"/>
    </row>
    <row r="158" spans="2:6" x14ac:dyDescent="0.2">
      <c r="B158" s="41"/>
    </row>
    <row r="159" spans="2:6" x14ac:dyDescent="0.2">
      <c r="B159" s="41"/>
    </row>
    <row r="160" spans="2:6" x14ac:dyDescent="0.2">
      <c r="B160" s="41"/>
      <c r="F160" s="498"/>
    </row>
    <row r="161" spans="2:6" x14ac:dyDescent="0.2">
      <c r="B161" s="41"/>
    </row>
    <row r="162" spans="2:6" x14ac:dyDescent="0.2">
      <c r="B162" s="41"/>
      <c r="F162" s="498"/>
    </row>
    <row r="163" spans="2:6" x14ac:dyDescent="0.2">
      <c r="B163" s="41"/>
      <c r="F163" s="498"/>
    </row>
    <row r="164" spans="2:6" x14ac:dyDescent="0.2">
      <c r="B164" s="41"/>
      <c r="F164" s="498"/>
    </row>
    <row r="165" spans="2:6" x14ac:dyDescent="0.2">
      <c r="B165" s="41"/>
      <c r="F165" s="498"/>
    </row>
    <row r="166" spans="2:6" x14ac:dyDescent="0.2">
      <c r="B166" s="41"/>
      <c r="F166" s="498"/>
    </row>
    <row r="167" spans="2:6" x14ac:dyDescent="0.2">
      <c r="B167" s="41"/>
      <c r="F167" s="498"/>
    </row>
    <row r="168" spans="2:6" x14ac:dyDescent="0.2">
      <c r="B168" s="41"/>
      <c r="F168" s="498"/>
    </row>
    <row r="169" spans="2:6" x14ac:dyDescent="0.2">
      <c r="B169" s="41"/>
      <c r="F169" s="498"/>
    </row>
    <row r="170" spans="2:6" x14ac:dyDescent="0.2">
      <c r="B170" s="41"/>
    </row>
    <row r="171" spans="2:6" x14ac:dyDescent="0.2">
      <c r="B171" s="41"/>
    </row>
    <row r="172" spans="2:6" x14ac:dyDescent="0.2">
      <c r="B172" s="41"/>
    </row>
    <row r="173" spans="2:6" x14ac:dyDescent="0.2">
      <c r="B173" s="41"/>
    </row>
    <row r="174" spans="2:6" x14ac:dyDescent="0.2">
      <c r="B174" s="41"/>
    </row>
    <row r="175" spans="2:6" x14ac:dyDescent="0.2">
      <c r="B175" s="41"/>
    </row>
    <row r="176" spans="2:6" x14ac:dyDescent="0.2">
      <c r="B176" s="41"/>
      <c r="F176" s="498"/>
    </row>
    <row r="177" spans="1:38" x14ac:dyDescent="0.2">
      <c r="B177" s="41"/>
      <c r="F177" s="498"/>
    </row>
    <row r="178" spans="1:38" x14ac:dyDescent="0.2">
      <c r="B178" s="41"/>
      <c r="F178" s="498"/>
    </row>
    <row r="179" spans="1:38" x14ac:dyDescent="0.2">
      <c r="B179" s="41"/>
      <c r="G179" s="285"/>
    </row>
    <row r="180" spans="1:38" x14ac:dyDescent="0.2">
      <c r="B180" s="41"/>
      <c r="F180" s="498"/>
    </row>
    <row r="181" spans="1:38" x14ac:dyDescent="0.2">
      <c r="B181" s="41"/>
      <c r="F181" s="498"/>
    </row>
    <row r="182" spans="1:38" x14ac:dyDescent="0.2">
      <c r="B182" s="41"/>
      <c r="F182" s="498"/>
    </row>
    <row r="183" spans="1:38" x14ac:dyDescent="0.2">
      <c r="A183" s="97"/>
      <c r="B183" s="41"/>
      <c r="C183" s="278"/>
      <c r="D183" s="96"/>
      <c r="E183" s="96"/>
      <c r="F183" s="96"/>
      <c r="G183" s="96"/>
    </row>
    <row r="184" spans="1:38" s="144" customFormat="1" x14ac:dyDescent="0.2">
      <c r="A184" s="40"/>
      <c r="B184" s="41"/>
      <c r="C184" s="139"/>
      <c r="D184"/>
      <c r="E184"/>
      <c r="F184"/>
      <c r="G184"/>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row>
    <row r="185" spans="1:38" x14ac:dyDescent="0.2">
      <c r="B185" s="41"/>
    </row>
    <row r="186" spans="1:38" x14ac:dyDescent="0.2">
      <c r="B186" s="41"/>
    </row>
    <row r="187" spans="1:38" x14ac:dyDescent="0.2">
      <c r="B187" s="41"/>
    </row>
    <row r="188" spans="1:38" x14ac:dyDescent="0.2">
      <c r="B188" s="41"/>
      <c r="F188" s="498"/>
    </row>
    <row r="189" spans="1:38" x14ac:dyDescent="0.2">
      <c r="B189" s="41"/>
      <c r="F189" s="498"/>
    </row>
    <row r="190" spans="1:38" x14ac:dyDescent="0.2">
      <c r="B190" s="41"/>
      <c r="F190" s="498"/>
    </row>
    <row r="191" spans="1:38" x14ac:dyDescent="0.2">
      <c r="B191" s="41"/>
      <c r="F191" s="498"/>
    </row>
    <row r="192" spans="1:38" x14ac:dyDescent="0.2">
      <c r="B192" s="41"/>
      <c r="F192" s="498"/>
    </row>
    <row r="193" spans="1:6" x14ac:dyDescent="0.2">
      <c r="B193" s="41"/>
      <c r="F193" s="498"/>
    </row>
    <row r="194" spans="1:6" x14ac:dyDescent="0.2">
      <c r="A194" s="97"/>
      <c r="B194" s="41"/>
    </row>
    <row r="195" spans="1:6" x14ac:dyDescent="0.2">
      <c r="B195" s="41"/>
      <c r="F195" s="276"/>
    </row>
    <row r="196" spans="1:6" x14ac:dyDescent="0.2">
      <c r="B196" s="41"/>
    </row>
    <row r="197" spans="1:6" x14ac:dyDescent="0.2">
      <c r="B197" s="41"/>
    </row>
    <row r="198" spans="1:6" x14ac:dyDescent="0.2">
      <c r="B198" s="41"/>
    </row>
    <row r="199" spans="1:6" x14ac:dyDescent="0.2">
      <c r="B199" s="41"/>
      <c r="F199" s="498"/>
    </row>
    <row r="200" spans="1:6" x14ac:dyDescent="0.2">
      <c r="B200" s="41"/>
      <c r="F200" s="498"/>
    </row>
    <row r="201" spans="1:6" x14ac:dyDescent="0.2">
      <c r="B201" s="41"/>
    </row>
    <row r="202" spans="1:6" x14ac:dyDescent="0.2">
      <c r="B202" s="41"/>
    </row>
    <row r="203" spans="1:6" x14ac:dyDescent="0.2">
      <c r="B203" s="41"/>
    </row>
    <row r="204" spans="1:6" x14ac:dyDescent="0.2">
      <c r="B204" s="41"/>
    </row>
    <row r="205" spans="1:6" x14ac:dyDescent="0.2">
      <c r="B205" s="41"/>
    </row>
    <row r="206" spans="1:6" x14ac:dyDescent="0.2">
      <c r="B206" s="41"/>
    </row>
    <row r="207" spans="1:6" x14ac:dyDescent="0.2">
      <c r="B207" s="41"/>
    </row>
    <row r="208" spans="1:6" x14ac:dyDescent="0.2">
      <c r="B208" s="41"/>
    </row>
    <row r="209" spans="1:7" x14ac:dyDescent="0.2">
      <c r="B209" s="41"/>
    </row>
    <row r="210" spans="1:7" x14ac:dyDescent="0.2">
      <c r="B210" s="41"/>
    </row>
    <row r="211" spans="1:7" s="143" customFormat="1" x14ac:dyDescent="0.2">
      <c r="A211" s="40"/>
      <c r="B211" s="41"/>
      <c r="C211" s="139"/>
      <c r="D211"/>
      <c r="E211"/>
      <c r="F211"/>
      <c r="G211"/>
    </row>
    <row r="212" spans="1:7" x14ac:dyDescent="0.2">
      <c r="B212" s="41"/>
    </row>
    <row r="213" spans="1:7" x14ac:dyDescent="0.2">
      <c r="B213" s="41"/>
    </row>
    <row r="214" spans="1:7" x14ac:dyDescent="0.2">
      <c r="B214" s="41"/>
    </row>
    <row r="215" spans="1:7" x14ac:dyDescent="0.2">
      <c r="B215" s="41"/>
    </row>
    <row r="216" spans="1:7" x14ac:dyDescent="0.2">
      <c r="B216" s="41"/>
    </row>
    <row r="217" spans="1:7" x14ac:dyDescent="0.2">
      <c r="B217" s="41"/>
    </row>
    <row r="218" spans="1:7" x14ac:dyDescent="0.2">
      <c r="B218" s="41"/>
    </row>
    <row r="219" spans="1:7" x14ac:dyDescent="0.2">
      <c r="B219" s="41"/>
    </row>
    <row r="220" spans="1:7" x14ac:dyDescent="0.2">
      <c r="B220" s="41"/>
    </row>
    <row r="221" spans="1:7" x14ac:dyDescent="0.2">
      <c r="B221" s="41"/>
    </row>
    <row r="222" spans="1:7" x14ac:dyDescent="0.2">
      <c r="B222" s="41"/>
    </row>
    <row r="223" spans="1:7" x14ac:dyDescent="0.2">
      <c r="B223" s="41"/>
    </row>
    <row r="224" spans="1:7" x14ac:dyDescent="0.2">
      <c r="B224" s="41"/>
    </row>
    <row r="225" spans="2:2" x14ac:dyDescent="0.2">
      <c r="B225" s="41"/>
    </row>
    <row r="226" spans="2:2" x14ac:dyDescent="0.2">
      <c r="B226" s="41"/>
    </row>
    <row r="227" spans="2:2" x14ac:dyDescent="0.2">
      <c r="B227" s="41"/>
    </row>
    <row r="228" spans="2:2" x14ac:dyDescent="0.2">
      <c r="B228" s="41"/>
    </row>
    <row r="229" spans="2:2" x14ac:dyDescent="0.2">
      <c r="B229" s="41"/>
    </row>
    <row r="230" spans="2:2" x14ac:dyDescent="0.2">
      <c r="B230" s="41"/>
    </row>
    <row r="231" spans="2:2" x14ac:dyDescent="0.2">
      <c r="B231" s="41"/>
    </row>
    <row r="232" spans="2:2" x14ac:dyDescent="0.2">
      <c r="B232" s="41"/>
    </row>
    <row r="233" spans="2:2" x14ac:dyDescent="0.2">
      <c r="B233" s="41"/>
    </row>
    <row r="234" spans="2:2" x14ac:dyDescent="0.2">
      <c r="B234" s="41"/>
    </row>
    <row r="235" spans="2:2" x14ac:dyDescent="0.2">
      <c r="B235" s="41"/>
    </row>
    <row r="236" spans="2:2" x14ac:dyDescent="0.2">
      <c r="B236" s="41"/>
    </row>
    <row r="237" spans="2:2" x14ac:dyDescent="0.2">
      <c r="B237" s="41" t="e">
        <f>IF(#REF!="credit",#REF!, (#REF!* -1))</f>
        <v>#REF!</v>
      </c>
    </row>
    <row r="238" spans="2:2" x14ac:dyDescent="0.2">
      <c r="B238" s="41" t="e">
        <f>IF(#REF!="credit",#REF!, (#REF!* -1))</f>
        <v>#REF!</v>
      </c>
    </row>
    <row r="239" spans="2:2" x14ac:dyDescent="0.2">
      <c r="B239" s="41" t="e">
        <f>IF(#REF!="credit",#REF!, (#REF!* -1))</f>
        <v>#REF!</v>
      </c>
    </row>
    <row r="240" spans="2:2" x14ac:dyDescent="0.2">
      <c r="B240" s="41" t="e">
        <f>IF(#REF!="credit",#REF!, (#REF!* -1))</f>
        <v>#REF!</v>
      </c>
    </row>
    <row r="241" spans="2:2" x14ac:dyDescent="0.2">
      <c r="B241" s="41" t="e">
        <f>IF(#REF!="credit",#REF!, (#REF!* -1))</f>
        <v>#REF!</v>
      </c>
    </row>
    <row r="242" spans="2:2" x14ac:dyDescent="0.2">
      <c r="B242" s="41" t="e">
        <f>IF(#REF!="credit",#REF!, (#REF!* -1))</f>
        <v>#REF!</v>
      </c>
    </row>
    <row r="243" spans="2:2" x14ac:dyDescent="0.2">
      <c r="B243" s="41" t="e">
        <f>IF(#REF!="credit",#REF!, (#REF!* -1))</f>
        <v>#REF!</v>
      </c>
    </row>
    <row r="244" spans="2:2" x14ac:dyDescent="0.2">
      <c r="B244" s="41" t="e">
        <f>IF(#REF!="credit",#REF!, (#REF!* -1))</f>
        <v>#REF!</v>
      </c>
    </row>
    <row r="245" spans="2:2" x14ac:dyDescent="0.2">
      <c r="B245" s="41" t="e">
        <f>IF(#REF!="credit",#REF!, (#REF!* -1))</f>
        <v>#REF!</v>
      </c>
    </row>
    <row r="246" spans="2:2" x14ac:dyDescent="0.2">
      <c r="B246" s="41" t="e">
        <f>IF(#REF!="credit",#REF!, (#REF!* -1))</f>
        <v>#REF!</v>
      </c>
    </row>
    <row r="247" spans="2:2" x14ac:dyDescent="0.2">
      <c r="B247" s="41" t="e">
        <f>IF(#REF!="credit",#REF!, (#REF!* -1))</f>
        <v>#REF!</v>
      </c>
    </row>
    <row r="248" spans="2:2" x14ac:dyDescent="0.2">
      <c r="B248" s="41" t="e">
        <f>IF(#REF!="credit",#REF!, (#REF!* -1))</f>
        <v>#REF!</v>
      </c>
    </row>
    <row r="249" spans="2:2" x14ac:dyDescent="0.2">
      <c r="B249" s="41" t="e">
        <f>IF(#REF!="credit",#REF!, (#REF!* -1))</f>
        <v>#REF!</v>
      </c>
    </row>
    <row r="250" spans="2:2" x14ac:dyDescent="0.2">
      <c r="B250" s="41" t="e">
        <f>IF(#REF!="credit",#REF!, (#REF!* -1))</f>
        <v>#REF!</v>
      </c>
    </row>
    <row r="251" spans="2:2" x14ac:dyDescent="0.2">
      <c r="B251" s="41" t="e">
        <f>IF(#REF!="credit",#REF!, (#REF!* -1))</f>
        <v>#REF!</v>
      </c>
    </row>
    <row r="252" spans="2:2" x14ac:dyDescent="0.2">
      <c r="B252" s="41" t="e">
        <f>IF(#REF!="credit",#REF!, (#REF!* -1))</f>
        <v>#REF!</v>
      </c>
    </row>
    <row r="253" spans="2:2" x14ac:dyDescent="0.2">
      <c r="B253" s="41" t="e">
        <f>IF(#REF!="credit",#REF!, (#REF!* -1))</f>
        <v>#REF!</v>
      </c>
    </row>
    <row r="254" spans="2:2" x14ac:dyDescent="0.2">
      <c r="B254" s="41" t="e">
        <f>IF(#REF!="credit",#REF!, (#REF!* -1))</f>
        <v>#REF!</v>
      </c>
    </row>
    <row r="255" spans="2:2" x14ac:dyDescent="0.2">
      <c r="B255" s="41" t="e">
        <f>IF(#REF!="credit",#REF!, (#REF!* -1))</f>
        <v>#REF!</v>
      </c>
    </row>
    <row r="256" spans="2:2" x14ac:dyDescent="0.2">
      <c r="B256" s="41" t="e">
        <f>IF(#REF!="credit",#REF!, (#REF!* -1))</f>
        <v>#REF!</v>
      </c>
    </row>
    <row r="257" spans="2:2" x14ac:dyDescent="0.2">
      <c r="B257" s="41" t="e">
        <f>IF(#REF!="credit",#REF!, (#REF!* -1))</f>
        <v>#REF!</v>
      </c>
    </row>
    <row r="258" spans="2:2" x14ac:dyDescent="0.2">
      <c r="B258" s="41" t="e">
        <f>IF(#REF!="credit",#REF!, (#REF!* -1))</f>
        <v>#REF!</v>
      </c>
    </row>
    <row r="259" spans="2:2" x14ac:dyDescent="0.2">
      <c r="B259" s="41" t="e">
        <f>IF(#REF!="credit",#REF!, (#REF!* -1))</f>
        <v>#REF!</v>
      </c>
    </row>
    <row r="260" spans="2:2" x14ac:dyDescent="0.2">
      <c r="B260" s="41" t="e">
        <f>IF(#REF!="credit",#REF!, (#REF!* -1))</f>
        <v>#REF!</v>
      </c>
    </row>
    <row r="261" spans="2:2" x14ac:dyDescent="0.2">
      <c r="B261" s="41" t="e">
        <f>IF(#REF!="credit",#REF!, (#REF!* -1))</f>
        <v>#REF!</v>
      </c>
    </row>
    <row r="262" spans="2:2" x14ac:dyDescent="0.2">
      <c r="B262" s="41" t="e">
        <f>IF(#REF!="credit",#REF!, (#REF!* -1))</f>
        <v>#REF!</v>
      </c>
    </row>
    <row r="263" spans="2:2" x14ac:dyDescent="0.2">
      <c r="B263" s="41" t="e">
        <f>IF(#REF!="credit",#REF!, (#REF!* -1))</f>
        <v>#REF!</v>
      </c>
    </row>
    <row r="264" spans="2:2" x14ac:dyDescent="0.2">
      <c r="B264" s="41" t="e">
        <f>IF(#REF!="credit",#REF!, (#REF!* -1))</f>
        <v>#REF!</v>
      </c>
    </row>
    <row r="265" spans="2:2" x14ac:dyDescent="0.2">
      <c r="B265" s="41" t="e">
        <f>IF(#REF!="credit",#REF!, (#REF!* -1))</f>
        <v>#REF!</v>
      </c>
    </row>
    <row r="266" spans="2:2" x14ac:dyDescent="0.2">
      <c r="B266" s="41" t="e">
        <f>IF(#REF!="credit",#REF!, (#REF!* -1))</f>
        <v>#REF!</v>
      </c>
    </row>
    <row r="267" spans="2:2" x14ac:dyDescent="0.2">
      <c r="B267" s="41" t="e">
        <f>IF(#REF!="credit",#REF!, (#REF!* -1))</f>
        <v>#REF!</v>
      </c>
    </row>
    <row r="268" spans="2:2" x14ac:dyDescent="0.2">
      <c r="B268" s="41" t="e">
        <f>IF(#REF!="credit",#REF!, (#REF!* -1))</f>
        <v>#REF!</v>
      </c>
    </row>
    <row r="269" spans="2:2" x14ac:dyDescent="0.2">
      <c r="B269" s="41" t="e">
        <f>IF(#REF!="credit",#REF!, (#REF!* -1))</f>
        <v>#REF!</v>
      </c>
    </row>
    <row r="270" spans="2:2" x14ac:dyDescent="0.2">
      <c r="B270" s="41" t="e">
        <f>IF(#REF!="credit",#REF!, (#REF!* -1))</f>
        <v>#REF!</v>
      </c>
    </row>
    <row r="271" spans="2:2" x14ac:dyDescent="0.2">
      <c r="B271" s="41" t="e">
        <f>IF(#REF!="credit",#REF!, (#REF!* -1))</f>
        <v>#REF!</v>
      </c>
    </row>
    <row r="272" spans="2:2" x14ac:dyDescent="0.2">
      <c r="B272" s="41" t="e">
        <f>IF(#REF!="credit",#REF!, (#REF!* -1))</f>
        <v>#REF!</v>
      </c>
    </row>
    <row r="273" spans="2:2" x14ac:dyDescent="0.2">
      <c r="B273" s="41" t="e">
        <f>IF(#REF!="credit",#REF!, (#REF!* -1))</f>
        <v>#REF!</v>
      </c>
    </row>
    <row r="274" spans="2:2" x14ac:dyDescent="0.2">
      <c r="B274" s="41" t="e">
        <f>IF(#REF!="credit",#REF!, (#REF!* -1))</f>
        <v>#REF!</v>
      </c>
    </row>
    <row r="275" spans="2:2" x14ac:dyDescent="0.2">
      <c r="B275" s="41" t="e">
        <f>IF(#REF!="credit",#REF!, (#REF!* -1))</f>
        <v>#REF!</v>
      </c>
    </row>
    <row r="276" spans="2:2" x14ac:dyDescent="0.2">
      <c r="B276" s="41" t="e">
        <f>IF(#REF!="credit",#REF!, (#REF!* -1))</f>
        <v>#REF!</v>
      </c>
    </row>
    <row r="277" spans="2:2" x14ac:dyDescent="0.2">
      <c r="B277" s="41" t="e">
        <f>IF(#REF!="credit",#REF!, (#REF!* -1))</f>
        <v>#REF!</v>
      </c>
    </row>
    <row r="278" spans="2:2" x14ac:dyDescent="0.2">
      <c r="B278" s="41" t="e">
        <f>IF(#REF!="credit",#REF!, (#REF!* -1))</f>
        <v>#REF!</v>
      </c>
    </row>
    <row r="279" spans="2:2" x14ac:dyDescent="0.2">
      <c r="B279" s="41" t="e">
        <f>IF(#REF!="credit",#REF!, (#REF!* -1))</f>
        <v>#REF!</v>
      </c>
    </row>
    <row r="280" spans="2:2" x14ac:dyDescent="0.2">
      <c r="B280" s="41" t="e">
        <f>IF(#REF!="credit",#REF!, (#REF!* -1))</f>
        <v>#REF!</v>
      </c>
    </row>
    <row r="281" spans="2:2" x14ac:dyDescent="0.2">
      <c r="B281" s="41" t="e">
        <f>IF(#REF!="credit",#REF!, (#REF!* -1))</f>
        <v>#REF!</v>
      </c>
    </row>
    <row r="282" spans="2:2" x14ac:dyDescent="0.2">
      <c r="B282" s="41" t="e">
        <f>IF(#REF!="credit",#REF!, (#REF!* -1))</f>
        <v>#REF!</v>
      </c>
    </row>
    <row r="283" spans="2:2" x14ac:dyDescent="0.2">
      <c r="B283" s="41" t="e">
        <f>IF(#REF!="credit",#REF!, (#REF!* -1))</f>
        <v>#REF!</v>
      </c>
    </row>
    <row r="284" spans="2:2" x14ac:dyDescent="0.2">
      <c r="B284" s="41" t="e">
        <f>IF(#REF!="credit",#REF!, (#REF!* -1))</f>
        <v>#REF!</v>
      </c>
    </row>
    <row r="285" spans="2:2" x14ac:dyDescent="0.2">
      <c r="B285" s="41" t="e">
        <f>IF(#REF!="credit",#REF!, (#REF!* -1))</f>
        <v>#REF!</v>
      </c>
    </row>
    <row r="286" spans="2:2" x14ac:dyDescent="0.2">
      <c r="B286" s="41" t="e">
        <f>IF(#REF!="credit",#REF!, (#REF!* -1))</f>
        <v>#REF!</v>
      </c>
    </row>
    <row r="287" spans="2:2" x14ac:dyDescent="0.2">
      <c r="B287" s="41" t="e">
        <f>IF(#REF!="credit",#REF!, (#REF!* -1))</f>
        <v>#REF!</v>
      </c>
    </row>
    <row r="288" spans="2:2" x14ac:dyDescent="0.2">
      <c r="B288" s="41" t="e">
        <f>IF(#REF!="credit",#REF!, (#REF!* -1))</f>
        <v>#REF!</v>
      </c>
    </row>
    <row r="289" spans="2:2" x14ac:dyDescent="0.2">
      <c r="B289" s="41" t="e">
        <f>IF(#REF!="credit",#REF!, (#REF!* -1))</f>
        <v>#REF!</v>
      </c>
    </row>
    <row r="290" spans="2:2" x14ac:dyDescent="0.2">
      <c r="B290" s="41" t="e">
        <f>IF(#REF!="credit",#REF!, (#REF!* -1))</f>
        <v>#REF!</v>
      </c>
    </row>
    <row r="291" spans="2:2" x14ac:dyDescent="0.2">
      <c r="B291" s="41" t="e">
        <f>IF(#REF!="credit",#REF!, (#REF!* -1))</f>
        <v>#REF!</v>
      </c>
    </row>
    <row r="292" spans="2:2" x14ac:dyDescent="0.2">
      <c r="B292" s="41" t="e">
        <f>IF(#REF!="credit",#REF!, (#REF!* -1))</f>
        <v>#REF!</v>
      </c>
    </row>
    <row r="293" spans="2:2" x14ac:dyDescent="0.2">
      <c r="B293" s="41" t="e">
        <f>IF(#REF!="credit",#REF!, (#REF!* -1))</f>
        <v>#REF!</v>
      </c>
    </row>
    <row r="294" spans="2:2" x14ac:dyDescent="0.2">
      <c r="B294" s="41" t="e">
        <f>IF(#REF!="credit",#REF!, (#REF!* -1))</f>
        <v>#REF!</v>
      </c>
    </row>
    <row r="295" spans="2:2" x14ac:dyDescent="0.2">
      <c r="B295" s="41" t="e">
        <f>IF(#REF!="credit",#REF!, (#REF!* -1))</f>
        <v>#REF!</v>
      </c>
    </row>
    <row r="296" spans="2:2" x14ac:dyDescent="0.2">
      <c r="B296" s="41" t="e">
        <f>IF(#REF!="credit",#REF!, (#REF!* -1))</f>
        <v>#REF!</v>
      </c>
    </row>
    <row r="297" spans="2:2" x14ac:dyDescent="0.2">
      <c r="B297" s="41" t="e">
        <f>IF(#REF!="credit",#REF!, (#REF!* -1))</f>
        <v>#REF!</v>
      </c>
    </row>
    <row r="298" spans="2:2" x14ac:dyDescent="0.2">
      <c r="B298" s="41" t="e">
        <f>IF(#REF!="credit",#REF!, (#REF!* -1))</f>
        <v>#REF!</v>
      </c>
    </row>
    <row r="299" spans="2:2" x14ac:dyDescent="0.2">
      <c r="B299" s="41" t="e">
        <f>IF(#REF!="credit",#REF!, (#REF!* -1))</f>
        <v>#REF!</v>
      </c>
    </row>
    <row r="300" spans="2:2" x14ac:dyDescent="0.2">
      <c r="B300" s="41" t="e">
        <f>IF(#REF!="credit",#REF!, (#REF!* -1))</f>
        <v>#REF!</v>
      </c>
    </row>
    <row r="301" spans="2:2" x14ac:dyDescent="0.2">
      <c r="B301" s="41" t="e">
        <f>IF(#REF!="credit",#REF!, (#REF!* -1))</f>
        <v>#REF!</v>
      </c>
    </row>
    <row r="302" spans="2:2" x14ac:dyDescent="0.2">
      <c r="B302" s="41" t="e">
        <f>IF(#REF!="credit",#REF!, (#REF!* -1))</f>
        <v>#REF!</v>
      </c>
    </row>
    <row r="303" spans="2:2" x14ac:dyDescent="0.2">
      <c r="B303" s="41" t="e">
        <f>IF(#REF!="credit",#REF!, (#REF!* -1))</f>
        <v>#REF!</v>
      </c>
    </row>
    <row r="304" spans="2:2" x14ac:dyDescent="0.2">
      <c r="B304" s="41" t="e">
        <f>IF(#REF!="credit",#REF!, (#REF!* -1))</f>
        <v>#REF!</v>
      </c>
    </row>
    <row r="305" spans="2:2" x14ac:dyDescent="0.2">
      <c r="B305" s="41" t="e">
        <f>IF(#REF!="credit",#REF!, (#REF!* -1))</f>
        <v>#REF!</v>
      </c>
    </row>
    <row r="306" spans="2:2" x14ac:dyDescent="0.2">
      <c r="B306" s="41" t="e">
        <f>IF(#REF!="credit",#REF!, (#REF!* -1))</f>
        <v>#REF!</v>
      </c>
    </row>
    <row r="307" spans="2:2" x14ac:dyDescent="0.2">
      <c r="B307" s="41" t="e">
        <f>IF(#REF!="credit",#REF!, (#REF!* -1))</f>
        <v>#REF!</v>
      </c>
    </row>
    <row r="308" spans="2:2" x14ac:dyDescent="0.2">
      <c r="B308" s="41" t="e">
        <f>IF(#REF!="credit",#REF!, (#REF!* -1))</f>
        <v>#REF!</v>
      </c>
    </row>
    <row r="309" spans="2:2" x14ac:dyDescent="0.2">
      <c r="B309" s="41" t="e">
        <f>IF(#REF!="credit",#REF!, (#REF!* -1))</f>
        <v>#REF!</v>
      </c>
    </row>
    <row r="310" spans="2:2" x14ac:dyDescent="0.2">
      <c r="B310" s="41" t="e">
        <f>IF(#REF!="credit",#REF!, (#REF!* -1))</f>
        <v>#REF!</v>
      </c>
    </row>
    <row r="311" spans="2:2" x14ac:dyDescent="0.2">
      <c r="B311" s="41" t="e">
        <f>IF(#REF!="credit",#REF!, (#REF!* -1))</f>
        <v>#REF!</v>
      </c>
    </row>
    <row r="312" spans="2:2" x14ac:dyDescent="0.2">
      <c r="B312" s="41" t="e">
        <f>IF(#REF!="credit",#REF!, (#REF!* -1))</f>
        <v>#REF!</v>
      </c>
    </row>
    <row r="313" spans="2:2" x14ac:dyDescent="0.2">
      <c r="B313" s="41" t="e">
        <f>IF(#REF!="credit",#REF!, (#REF!* -1))</f>
        <v>#REF!</v>
      </c>
    </row>
    <row r="314" spans="2:2" x14ac:dyDescent="0.2">
      <c r="B314" s="41" t="e">
        <f>IF(#REF!="credit",#REF!, (#REF!* -1))</f>
        <v>#REF!</v>
      </c>
    </row>
    <row r="315" spans="2:2" x14ac:dyDescent="0.2">
      <c r="B315" s="41" t="e">
        <f>IF(#REF!="credit",#REF!, (#REF!* -1))</f>
        <v>#REF!</v>
      </c>
    </row>
    <row r="316" spans="2:2" x14ac:dyDescent="0.2">
      <c r="B316" s="41" t="e">
        <f>IF(#REF!="credit",#REF!, (#REF!* -1))</f>
        <v>#REF!</v>
      </c>
    </row>
    <row r="317" spans="2:2" x14ac:dyDescent="0.2">
      <c r="B317" s="41" t="e">
        <f>IF(#REF!="credit",#REF!, (#REF!* -1))</f>
        <v>#REF!</v>
      </c>
    </row>
    <row r="318" spans="2:2" x14ac:dyDescent="0.2">
      <c r="B318" s="41" t="e">
        <f>IF(#REF!="credit",#REF!, (#REF!* -1))</f>
        <v>#REF!</v>
      </c>
    </row>
    <row r="319" spans="2:2" x14ac:dyDescent="0.2">
      <c r="B319" s="41" t="e">
        <f>IF(#REF!="credit",#REF!, (#REF!* -1))</f>
        <v>#REF!</v>
      </c>
    </row>
    <row r="320" spans="2:2" x14ac:dyDescent="0.2">
      <c r="B320" s="41" t="e">
        <f>IF(#REF!="credit",#REF!, (#REF!* -1))</f>
        <v>#REF!</v>
      </c>
    </row>
    <row r="321" spans="2:2" x14ac:dyDescent="0.2">
      <c r="B321" s="41" t="e">
        <f>IF(#REF!="credit",#REF!, (#REF!* -1))</f>
        <v>#REF!</v>
      </c>
    </row>
    <row r="322" spans="2:2" x14ac:dyDescent="0.2">
      <c r="B322" s="41" t="e">
        <f>IF(#REF!="credit",#REF!, (#REF!* -1))</f>
        <v>#REF!</v>
      </c>
    </row>
    <row r="323" spans="2:2" x14ac:dyDescent="0.2">
      <c r="B323" s="41" t="e">
        <f>IF(#REF!="credit",#REF!, (#REF!* -1))</f>
        <v>#REF!</v>
      </c>
    </row>
    <row r="324" spans="2:2" x14ac:dyDescent="0.2">
      <c r="B324" s="41" t="e">
        <f>IF(#REF!="credit",#REF!, (#REF!* -1))</f>
        <v>#REF!</v>
      </c>
    </row>
    <row r="325" spans="2:2" x14ac:dyDescent="0.2">
      <c r="B325" s="41" t="e">
        <f>IF(#REF!="credit",#REF!, (#REF!* -1))</f>
        <v>#REF!</v>
      </c>
    </row>
    <row r="326" spans="2:2" x14ac:dyDescent="0.2">
      <c r="B326" s="41" t="e">
        <f>IF(#REF!="credit",#REF!, (#REF!* -1))</f>
        <v>#REF!</v>
      </c>
    </row>
    <row r="327" spans="2:2" x14ac:dyDescent="0.2">
      <c r="B327" s="41" t="e">
        <f>IF(#REF!="credit",#REF!, (#REF!* -1))</f>
        <v>#REF!</v>
      </c>
    </row>
    <row r="328" spans="2:2" x14ac:dyDescent="0.2">
      <c r="B328" s="41" t="e">
        <f>IF(#REF!="credit",#REF!, (#REF!* -1))</f>
        <v>#REF!</v>
      </c>
    </row>
    <row r="329" spans="2:2" x14ac:dyDescent="0.2">
      <c r="B329" s="41" t="e">
        <f>IF(#REF!="credit",#REF!, (#REF!* -1))</f>
        <v>#REF!</v>
      </c>
    </row>
    <row r="330" spans="2:2" x14ac:dyDescent="0.2">
      <c r="B330" s="41" t="e">
        <f>IF(#REF!="credit",#REF!, (#REF!* -1))</f>
        <v>#REF!</v>
      </c>
    </row>
    <row r="331" spans="2:2" x14ac:dyDescent="0.2">
      <c r="B331" s="41" t="e">
        <f>IF(#REF!="credit",#REF!, (#REF!* -1))</f>
        <v>#REF!</v>
      </c>
    </row>
    <row r="332" spans="2:2" x14ac:dyDescent="0.2">
      <c r="B332" s="41" t="e">
        <f>IF(#REF!="credit",#REF!, (#REF!* -1))</f>
        <v>#REF!</v>
      </c>
    </row>
    <row r="333" spans="2:2" x14ac:dyDescent="0.2">
      <c r="B333" s="41" t="e">
        <f>IF(#REF!="credit",#REF!, (#REF!* -1))</f>
        <v>#REF!</v>
      </c>
    </row>
    <row r="334" spans="2:2" x14ac:dyDescent="0.2">
      <c r="B334" s="41" t="e">
        <f>IF(#REF!="credit",#REF!, (#REF!* -1))</f>
        <v>#REF!</v>
      </c>
    </row>
    <row r="335" spans="2:2" x14ac:dyDescent="0.2">
      <c r="B335" s="41" t="e">
        <f>IF(#REF!="credit",#REF!, (#REF!* -1))</f>
        <v>#REF!</v>
      </c>
    </row>
    <row r="336" spans="2:2" x14ac:dyDescent="0.2">
      <c r="B336" s="41" t="e">
        <f>IF(#REF!="credit",#REF!, (#REF!* -1))</f>
        <v>#REF!</v>
      </c>
    </row>
    <row r="337" spans="2:2" x14ac:dyDescent="0.2">
      <c r="B337" s="41" t="e">
        <f>IF(#REF!="credit",#REF!, (#REF!* -1))</f>
        <v>#REF!</v>
      </c>
    </row>
    <row r="338" spans="2:2" x14ac:dyDescent="0.2">
      <c r="B338" s="41" t="e">
        <f>IF(#REF!="credit",#REF!, (#REF!* -1))</f>
        <v>#REF!</v>
      </c>
    </row>
    <row r="339" spans="2:2" x14ac:dyDescent="0.2">
      <c r="B339" s="41" t="e">
        <f>IF(#REF!="credit",#REF!, (#REF!* -1))</f>
        <v>#REF!</v>
      </c>
    </row>
    <row r="340" spans="2:2" x14ac:dyDescent="0.2">
      <c r="B340" s="41" t="e">
        <f>IF(#REF!="credit",#REF!, (#REF!* -1))</f>
        <v>#REF!</v>
      </c>
    </row>
    <row r="341" spans="2:2" x14ac:dyDescent="0.2">
      <c r="B341" s="41" t="e">
        <f>IF(#REF!="credit",#REF!, (#REF!* -1))</f>
        <v>#REF!</v>
      </c>
    </row>
    <row r="342" spans="2:2" x14ac:dyDescent="0.2">
      <c r="B342" s="41" t="e">
        <f>IF(#REF!="credit",#REF!, (#REF!* -1))</f>
        <v>#REF!</v>
      </c>
    </row>
    <row r="343" spans="2:2" x14ac:dyDescent="0.2">
      <c r="B343" s="41" t="e">
        <f>IF(#REF!="credit",#REF!, (#REF!* -1))</f>
        <v>#REF!</v>
      </c>
    </row>
    <row r="344" spans="2:2" x14ac:dyDescent="0.2">
      <c r="B344" s="41" t="e">
        <f>IF(#REF!="credit",#REF!, (#REF!* -1))</f>
        <v>#REF!</v>
      </c>
    </row>
    <row r="345" spans="2:2" x14ac:dyDescent="0.2">
      <c r="B345" s="41" t="e">
        <f>IF(#REF!="credit",#REF!, (#REF!* -1))</f>
        <v>#REF!</v>
      </c>
    </row>
    <row r="346" spans="2:2" x14ac:dyDescent="0.2">
      <c r="B346" s="41" t="e">
        <f>IF(#REF!="credit",#REF!, (#REF!* -1))</f>
        <v>#REF!</v>
      </c>
    </row>
    <row r="347" spans="2:2" x14ac:dyDescent="0.2">
      <c r="B347" s="41" t="e">
        <f>IF(#REF!="credit",#REF!, (#REF!* -1))</f>
        <v>#REF!</v>
      </c>
    </row>
    <row r="348" spans="2:2" x14ac:dyDescent="0.2">
      <c r="B348" s="41" t="e">
        <f>IF(#REF!="credit",#REF!, (#REF!* -1))</f>
        <v>#REF!</v>
      </c>
    </row>
    <row r="349" spans="2:2" x14ac:dyDescent="0.2">
      <c r="B349" s="41" t="e">
        <f>IF(#REF!="credit",#REF!, (#REF!* -1))</f>
        <v>#REF!</v>
      </c>
    </row>
    <row r="350" spans="2:2" x14ac:dyDescent="0.2">
      <c r="B350" s="41" t="e">
        <f>IF(#REF!="credit",#REF!, (#REF!* -1))</f>
        <v>#REF!</v>
      </c>
    </row>
    <row r="351" spans="2:2" x14ac:dyDescent="0.2">
      <c r="B351" s="41" t="e">
        <f>IF(#REF!="credit",#REF!, (#REF!* -1))</f>
        <v>#REF!</v>
      </c>
    </row>
    <row r="352" spans="2:2" x14ac:dyDescent="0.2">
      <c r="B352" s="41" t="e">
        <f>IF(#REF!="credit",#REF!, (#REF!* -1))</f>
        <v>#REF!</v>
      </c>
    </row>
    <row r="353" spans="2:2" x14ac:dyDescent="0.2">
      <c r="B353" s="41" t="e">
        <f>IF(#REF!="credit",#REF!, (#REF!* -1))</f>
        <v>#REF!</v>
      </c>
    </row>
    <row r="354" spans="2:2" x14ac:dyDescent="0.2">
      <c r="B354" s="41" t="e">
        <f>IF(#REF!="credit",#REF!, (#REF!* -1))</f>
        <v>#REF!</v>
      </c>
    </row>
    <row r="355" spans="2:2" x14ac:dyDescent="0.2">
      <c r="B355" s="41" t="e">
        <f>IF(#REF!="credit",#REF!, (#REF!* -1))</f>
        <v>#REF!</v>
      </c>
    </row>
    <row r="356" spans="2:2" x14ac:dyDescent="0.2">
      <c r="B356" s="41" t="e">
        <f>IF(#REF!="credit",#REF!, (#REF!* -1))</f>
        <v>#REF!</v>
      </c>
    </row>
    <row r="357" spans="2:2" x14ac:dyDescent="0.2">
      <c r="B357" s="41" t="e">
        <f>IF(#REF!="credit",#REF!, (#REF!* -1))</f>
        <v>#REF!</v>
      </c>
    </row>
    <row r="358" spans="2:2" x14ac:dyDescent="0.2">
      <c r="B358" s="41" t="e">
        <f>IF(#REF!="credit",#REF!, (#REF!* -1))</f>
        <v>#REF!</v>
      </c>
    </row>
    <row r="359" spans="2:2" x14ac:dyDescent="0.2">
      <c r="B359" s="41" t="e">
        <f>IF(#REF!="credit",#REF!, (#REF!* -1))</f>
        <v>#REF!</v>
      </c>
    </row>
    <row r="360" spans="2:2" x14ac:dyDescent="0.2">
      <c r="B360" s="41" t="e">
        <f>IF(#REF!="credit",#REF!, (#REF!* -1))</f>
        <v>#REF!</v>
      </c>
    </row>
    <row r="361" spans="2:2" x14ac:dyDescent="0.2">
      <c r="B361" s="41" t="e">
        <f>IF(#REF!="credit",#REF!, (#REF!* -1))</f>
        <v>#REF!</v>
      </c>
    </row>
    <row r="362" spans="2:2" x14ac:dyDescent="0.2">
      <c r="B362" s="41" t="e">
        <f>IF(#REF!="credit",#REF!, (#REF!* -1))</f>
        <v>#REF!</v>
      </c>
    </row>
    <row r="363" spans="2:2" x14ac:dyDescent="0.2">
      <c r="B363" s="41" t="e">
        <f>IF(#REF!="credit",#REF!, (#REF!* -1))</f>
        <v>#REF!</v>
      </c>
    </row>
    <row r="364" spans="2:2" x14ac:dyDescent="0.2">
      <c r="B364" s="41" t="e">
        <f>IF(#REF!="credit",#REF!, (#REF!* -1))</f>
        <v>#REF!</v>
      </c>
    </row>
    <row r="365" spans="2:2" x14ac:dyDescent="0.2">
      <c r="B365" s="41" t="e">
        <f>IF(#REF!="credit",#REF!, (#REF!* -1))</f>
        <v>#REF!</v>
      </c>
    </row>
    <row r="366" spans="2:2" x14ac:dyDescent="0.2">
      <c r="B366" s="41" t="e">
        <f>IF(#REF!="credit",#REF!, (#REF!* -1))</f>
        <v>#REF!</v>
      </c>
    </row>
    <row r="367" spans="2:2" x14ac:dyDescent="0.2">
      <c r="B367" s="41" t="e">
        <f>IF(#REF!="credit",#REF!, (#REF!* -1))</f>
        <v>#REF!</v>
      </c>
    </row>
    <row r="368" spans="2:2" x14ac:dyDescent="0.2">
      <c r="B368" s="41" t="e">
        <f>IF(#REF!="credit",#REF!, (#REF!* -1))</f>
        <v>#REF!</v>
      </c>
    </row>
    <row r="369" spans="2:6" x14ac:dyDescent="0.2">
      <c r="B369" s="41" t="e">
        <f>IF(#REF!="credit",#REF!, (#REF!* -1))</f>
        <v>#REF!</v>
      </c>
    </row>
    <row r="370" spans="2:6" x14ac:dyDescent="0.2">
      <c r="B370" s="41" t="e">
        <f>IF(#REF!="credit",#REF!, (#REF!* -1))</f>
        <v>#REF!</v>
      </c>
    </row>
    <row r="371" spans="2:6" x14ac:dyDescent="0.2">
      <c r="B371" s="41" t="e">
        <f>IF(#REF!="credit",#REF!, (#REF!* -1))</f>
        <v>#REF!</v>
      </c>
    </row>
    <row r="372" spans="2:6" x14ac:dyDescent="0.2">
      <c r="B372" s="41" t="e">
        <f>IF(#REF!="credit",#REF!, (#REF!* -1))</f>
        <v>#REF!</v>
      </c>
    </row>
    <row r="373" spans="2:6" x14ac:dyDescent="0.2">
      <c r="B373" s="41" t="e">
        <f>IF(#REF!="credit",#REF!, (#REF!* -1))</f>
        <v>#REF!</v>
      </c>
    </row>
    <row r="374" spans="2:6" x14ac:dyDescent="0.2">
      <c r="B374" s="41" t="e">
        <f>IF(#REF!="credit",#REF!, (#REF!* -1))</f>
        <v>#REF!</v>
      </c>
    </row>
    <row r="375" spans="2:6" x14ac:dyDescent="0.2">
      <c r="B375" s="41" t="e">
        <f>IF(#REF!="credit",#REF!, (#REF!* -1))</f>
        <v>#REF!</v>
      </c>
    </row>
    <row r="376" spans="2:6" x14ac:dyDescent="0.2">
      <c r="B376" s="41" t="e">
        <f>IF(#REF!="credit",#REF!, (#REF!* -1))</f>
        <v>#REF!</v>
      </c>
    </row>
    <row r="377" spans="2:6" x14ac:dyDescent="0.2">
      <c r="B377" s="41" t="e">
        <f>IF(#REF!="credit",#REF!, (#REF!* -1))</f>
        <v>#REF!</v>
      </c>
    </row>
    <row r="378" spans="2:6" x14ac:dyDescent="0.2">
      <c r="B378" s="41" t="e">
        <f>IF(#REF!="credit",#REF!, (#REF!* -1))</f>
        <v>#REF!</v>
      </c>
      <c r="F378" s="276"/>
    </row>
    <row r="379" spans="2:6" x14ac:dyDescent="0.2">
      <c r="B379" s="41" t="e">
        <f>IF(#REF!="credit",#REF!, (#REF!* -1))</f>
        <v>#REF!</v>
      </c>
      <c r="F379" s="276"/>
    </row>
    <row r="380" spans="2:6" x14ac:dyDescent="0.2">
      <c r="B380" s="41" t="e">
        <f>IF(#REF!="credit",#REF!, (#REF!* -1))</f>
        <v>#REF!</v>
      </c>
      <c r="F380" s="276"/>
    </row>
    <row r="381" spans="2:6" x14ac:dyDescent="0.2">
      <c r="B381" s="41" t="e">
        <f>IF(#REF!="credit",#REF!, (#REF!* -1))</f>
        <v>#REF!</v>
      </c>
    </row>
    <row r="382" spans="2:6" x14ac:dyDescent="0.2">
      <c r="B382" s="41" t="e">
        <f>IF(#REF!="credit",#REF!, (#REF!* -1))</f>
        <v>#REF!</v>
      </c>
    </row>
    <row r="383" spans="2:6" x14ac:dyDescent="0.2">
      <c r="B383" s="41" t="e">
        <f>IF(#REF!="credit",#REF!, (#REF!* -1))</f>
        <v>#REF!</v>
      </c>
    </row>
    <row r="384" spans="2:6" x14ac:dyDescent="0.2">
      <c r="B384" s="41" t="e">
        <f>IF(#REF!="credit",#REF!, (#REF!* -1))</f>
        <v>#REF!</v>
      </c>
    </row>
    <row r="385" spans="2:6" x14ac:dyDescent="0.2">
      <c r="B385" s="41" t="e">
        <f>IF(#REF!="credit",#REF!, (#REF!* -1))</f>
        <v>#REF!</v>
      </c>
    </row>
    <row r="386" spans="2:6" x14ac:dyDescent="0.2">
      <c r="B386" s="41" t="e">
        <f>IF(#REF!="credit",#REF!, (#REF!* -1))</f>
        <v>#REF!</v>
      </c>
    </row>
    <row r="387" spans="2:6" x14ac:dyDescent="0.2">
      <c r="B387" s="41" t="e">
        <f>IF(#REF!="credit",#REF!, (#REF!* -1))</f>
        <v>#REF!</v>
      </c>
    </row>
    <row r="388" spans="2:6" x14ac:dyDescent="0.2">
      <c r="B388" s="41" t="e">
        <f>IF(#REF!="credit",#REF!, (#REF!* -1))</f>
        <v>#REF!</v>
      </c>
    </row>
    <row r="389" spans="2:6" x14ac:dyDescent="0.2">
      <c r="B389" s="41" t="e">
        <f>IF(#REF!="credit",#REF!, (#REF!* -1))</f>
        <v>#REF!</v>
      </c>
    </row>
    <row r="390" spans="2:6" x14ac:dyDescent="0.2">
      <c r="B390" s="41" t="e">
        <f>IF(#REF!="credit",#REF!, (#REF!* -1))</f>
        <v>#REF!</v>
      </c>
    </row>
    <row r="391" spans="2:6" x14ac:dyDescent="0.2">
      <c r="B391" s="41" t="e">
        <f>IF(#REF!="credit",#REF!, (#REF!* -1))</f>
        <v>#REF!</v>
      </c>
    </row>
    <row r="392" spans="2:6" x14ac:dyDescent="0.2">
      <c r="B392" s="41" t="e">
        <f>IF(#REF!="credit",#REF!, (#REF!* -1))</f>
        <v>#REF!</v>
      </c>
    </row>
    <row r="393" spans="2:6" x14ac:dyDescent="0.2">
      <c r="B393" s="41" t="e">
        <f>IF(#REF!="credit",#REF!, (#REF!* -1))</f>
        <v>#REF!</v>
      </c>
    </row>
    <row r="394" spans="2:6" x14ac:dyDescent="0.2">
      <c r="B394" s="41" t="e">
        <f>IF(#REF!="credit",#REF!, (#REF!* -1))</f>
        <v>#REF!</v>
      </c>
    </row>
    <row r="395" spans="2:6" x14ac:dyDescent="0.2">
      <c r="B395" s="41" t="e">
        <f>IF(#REF!="credit",#REF!, (#REF!* -1))</f>
        <v>#REF!</v>
      </c>
    </row>
    <row r="396" spans="2:6" x14ac:dyDescent="0.2">
      <c r="B396" s="41" t="e">
        <f>IF(#REF!="credit",#REF!, (#REF!* -1))</f>
        <v>#REF!</v>
      </c>
    </row>
    <row r="397" spans="2:6" x14ac:dyDescent="0.2">
      <c r="B397" s="41" t="e">
        <f>IF(#REF!="credit",#REF!, (#REF!* -1))</f>
        <v>#REF!</v>
      </c>
      <c r="F397" s="276"/>
    </row>
    <row r="398" spans="2:6" x14ac:dyDescent="0.2">
      <c r="B398" s="41" t="e">
        <f>IF(#REF!="credit",#REF!, (#REF!* -1))</f>
        <v>#REF!</v>
      </c>
    </row>
    <row r="399" spans="2:6" x14ac:dyDescent="0.2">
      <c r="B399" s="41" t="e">
        <f>IF(#REF!="credit",#REF!, (#REF!* -1))</f>
        <v>#REF!</v>
      </c>
    </row>
    <row r="400" spans="2:6" x14ac:dyDescent="0.2">
      <c r="B400" s="41" t="e">
        <f>IF(#REF!="credit",#REF!, (#REF!* -1))</f>
        <v>#REF!</v>
      </c>
    </row>
    <row r="401" spans="2:2" x14ac:dyDescent="0.2">
      <c r="B401" s="41" t="e">
        <f>IF(#REF!="credit",#REF!, (#REF!* -1))</f>
        <v>#REF!</v>
      </c>
    </row>
    <row r="402" spans="2:2" x14ac:dyDescent="0.2">
      <c r="B402" s="41" t="e">
        <f>IF(#REF!="credit",#REF!, (#REF!* -1))</f>
        <v>#REF!</v>
      </c>
    </row>
    <row r="403" spans="2:2" x14ac:dyDescent="0.2">
      <c r="B403" s="41" t="e">
        <f>IF(#REF!="credit",#REF!, (#REF!* -1))</f>
        <v>#REF!</v>
      </c>
    </row>
    <row r="404" spans="2:2" x14ac:dyDescent="0.2">
      <c r="B404" s="41" t="e">
        <f>IF(#REF!="credit",#REF!, (#REF!* -1))</f>
        <v>#REF!</v>
      </c>
    </row>
    <row r="405" spans="2:2" x14ac:dyDescent="0.2">
      <c r="B405" s="41" t="e">
        <f>IF(#REF!="credit",#REF!, (#REF!* -1))</f>
        <v>#REF!</v>
      </c>
    </row>
    <row r="406" spans="2:2" x14ac:dyDescent="0.2">
      <c r="B406" s="41" t="e">
        <f>IF(#REF!="credit",#REF!, (#REF!* -1))</f>
        <v>#REF!</v>
      </c>
    </row>
    <row r="407" spans="2:2" x14ac:dyDescent="0.2">
      <c r="B407" s="41" t="e">
        <f>IF(#REF!="credit",#REF!, (#REF!* -1))</f>
        <v>#REF!</v>
      </c>
    </row>
    <row r="408" spans="2:2" x14ac:dyDescent="0.2">
      <c r="B408" s="41" t="e">
        <f>IF(#REF!="credit",#REF!, (#REF!* -1))</f>
        <v>#REF!</v>
      </c>
    </row>
    <row r="409" spans="2:2" x14ac:dyDescent="0.2">
      <c r="B409" s="41" t="e">
        <f>IF(#REF!="credit",#REF!, (#REF!* -1))</f>
        <v>#REF!</v>
      </c>
    </row>
    <row r="410" spans="2:2" x14ac:dyDescent="0.2">
      <c r="B410" s="41" t="e">
        <f>IF(#REF!="credit",#REF!, (#REF!* -1))</f>
        <v>#REF!</v>
      </c>
    </row>
    <row r="411" spans="2:2" x14ac:dyDescent="0.2">
      <c r="B411" s="41" t="e">
        <f>IF(#REF!="credit",#REF!, (#REF!* -1))</f>
        <v>#REF!</v>
      </c>
    </row>
    <row r="412" spans="2:2" x14ac:dyDescent="0.2">
      <c r="B412" s="41" t="e">
        <f>IF(#REF!="credit",#REF!, (#REF!* -1))</f>
        <v>#REF!</v>
      </c>
    </row>
    <row r="413" spans="2:2" x14ac:dyDescent="0.2">
      <c r="B413" s="41" t="e">
        <f>IF(#REF!="credit",#REF!, (#REF!* -1))</f>
        <v>#REF!</v>
      </c>
    </row>
    <row r="414" spans="2:2" x14ac:dyDescent="0.2">
      <c r="B414" s="41" t="e">
        <f>IF(#REF!="credit",#REF!, (#REF!* -1))</f>
        <v>#REF!</v>
      </c>
    </row>
    <row r="415" spans="2:2" x14ac:dyDescent="0.2">
      <c r="B415" s="41" t="e">
        <f>IF(#REF!="credit",#REF!, (#REF!* -1))</f>
        <v>#REF!</v>
      </c>
    </row>
    <row r="416" spans="2:2" x14ac:dyDescent="0.2">
      <c r="B416" s="41" t="e">
        <f>IF(#REF!="credit",#REF!, (#REF!* -1))</f>
        <v>#REF!</v>
      </c>
    </row>
    <row r="417" spans="2:2" x14ac:dyDescent="0.2">
      <c r="B417" s="41" t="e">
        <f>IF(#REF!="credit",#REF!, (#REF!* -1))</f>
        <v>#REF!</v>
      </c>
    </row>
    <row r="418" spans="2:2" x14ac:dyDescent="0.2">
      <c r="B418" s="41" t="e">
        <f>IF(#REF!="credit",#REF!, (#REF!* -1))</f>
        <v>#REF!</v>
      </c>
    </row>
    <row r="419" spans="2:2" x14ac:dyDescent="0.2">
      <c r="B419" s="41" t="e">
        <f>IF(#REF!="credit",#REF!, (#REF!* -1))</f>
        <v>#REF!</v>
      </c>
    </row>
    <row r="420" spans="2:2" x14ac:dyDescent="0.2">
      <c r="B420" s="41" t="e">
        <f>IF(#REF!="credit",#REF!, (#REF!* -1))</f>
        <v>#REF!</v>
      </c>
    </row>
    <row r="421" spans="2:2" x14ac:dyDescent="0.2">
      <c r="B421" s="41" t="e">
        <f>IF(#REF!="credit",#REF!, (#REF!* -1))</f>
        <v>#REF!</v>
      </c>
    </row>
    <row r="422" spans="2:2" x14ac:dyDescent="0.2">
      <c r="B422" s="41" t="e">
        <f>IF(#REF!="credit",#REF!, (#REF!* -1))</f>
        <v>#REF!</v>
      </c>
    </row>
    <row r="423" spans="2:2" x14ac:dyDescent="0.2">
      <c r="B423" s="41" t="e">
        <f>IF(#REF!="credit",#REF!, (#REF!* -1))</f>
        <v>#REF!</v>
      </c>
    </row>
    <row r="424" spans="2:2" x14ac:dyDescent="0.2">
      <c r="B424" s="41" t="e">
        <f>IF(#REF!="credit",#REF!, (#REF!* -1))</f>
        <v>#REF!</v>
      </c>
    </row>
    <row r="425" spans="2:2" x14ac:dyDescent="0.2">
      <c r="B425" s="41" t="e">
        <f>IF(#REF!="credit",#REF!, (#REF!* -1))</f>
        <v>#REF!</v>
      </c>
    </row>
    <row r="426" spans="2:2" x14ac:dyDescent="0.2">
      <c r="B426" s="41" t="e">
        <f>IF(#REF!="credit",#REF!, (#REF!* -1))</f>
        <v>#REF!</v>
      </c>
    </row>
    <row r="427" spans="2:2" x14ac:dyDescent="0.2">
      <c r="B427" s="41" t="e">
        <f>IF(#REF!="credit",#REF!, (#REF!* -1))</f>
        <v>#REF!</v>
      </c>
    </row>
    <row r="428" spans="2:2" x14ac:dyDescent="0.2">
      <c r="B428" s="41" t="e">
        <f>IF(#REF!="credit",#REF!, (#REF!* -1))</f>
        <v>#REF!</v>
      </c>
    </row>
    <row r="429" spans="2:2" x14ac:dyDescent="0.2">
      <c r="B429" s="41" t="e">
        <f>IF(#REF!="credit",#REF!, (#REF!* -1))</f>
        <v>#REF!</v>
      </c>
    </row>
    <row r="430" spans="2:2" x14ac:dyDescent="0.2">
      <c r="B430" s="41" t="e">
        <f>IF(#REF!="credit",#REF!, (#REF!* -1))</f>
        <v>#REF!</v>
      </c>
    </row>
    <row r="431" spans="2:2" x14ac:dyDescent="0.2">
      <c r="B431" s="41" t="e">
        <f>IF(#REF!="credit",#REF!, (#REF!* -1))</f>
        <v>#REF!</v>
      </c>
    </row>
    <row r="432" spans="2:2" x14ac:dyDescent="0.2">
      <c r="B432" s="41" t="e">
        <f>IF(#REF!="credit",#REF!, (#REF!* -1))</f>
        <v>#REF!</v>
      </c>
    </row>
    <row r="433" spans="2:2" x14ac:dyDescent="0.2">
      <c r="B433" s="41" t="e">
        <f>IF(#REF!="credit",#REF!, (#REF!* -1))</f>
        <v>#REF!</v>
      </c>
    </row>
    <row r="434" spans="2:2" x14ac:dyDescent="0.2">
      <c r="B434" s="41" t="e">
        <f>IF(#REF!="credit",#REF!, (#REF!* -1))</f>
        <v>#REF!</v>
      </c>
    </row>
    <row r="435" spans="2:2" x14ac:dyDescent="0.2">
      <c r="B435" s="41" t="e">
        <f>IF(#REF!="credit",#REF!, (#REF!* -1))</f>
        <v>#REF!</v>
      </c>
    </row>
    <row r="436" spans="2:2" x14ac:dyDescent="0.2">
      <c r="B436" s="41" t="e">
        <f>IF(#REF!="credit",#REF!, (#REF!* -1))</f>
        <v>#REF!</v>
      </c>
    </row>
    <row r="437" spans="2:2" x14ac:dyDescent="0.2">
      <c r="B437" s="41" t="e">
        <f>IF(#REF!="credit",#REF!, (#REF!* -1))</f>
        <v>#REF!</v>
      </c>
    </row>
    <row r="438" spans="2:2" x14ac:dyDescent="0.2">
      <c r="B438" s="41" t="e">
        <f>IF(#REF!="credit",#REF!, (#REF!* -1))</f>
        <v>#REF!</v>
      </c>
    </row>
    <row r="439" spans="2:2" x14ac:dyDescent="0.2">
      <c r="B439" s="41" t="e">
        <f>IF(#REF!="credit",#REF!, (#REF!* -1))</f>
        <v>#REF!</v>
      </c>
    </row>
    <row r="440" spans="2:2" x14ac:dyDescent="0.2">
      <c r="B440" s="41" t="e">
        <f>IF(#REF!="credit",#REF!, (#REF!* -1))</f>
        <v>#REF!</v>
      </c>
    </row>
    <row r="441" spans="2:2" x14ac:dyDescent="0.2">
      <c r="B441" s="41" t="e">
        <f>IF(#REF!="credit",#REF!, (#REF!* -1))</f>
        <v>#REF!</v>
      </c>
    </row>
    <row r="442" spans="2:2" x14ac:dyDescent="0.2">
      <c r="B442" s="41" t="e">
        <f>IF(#REF!="credit",#REF!, (#REF!* -1))</f>
        <v>#REF!</v>
      </c>
    </row>
    <row r="443" spans="2:2" x14ac:dyDescent="0.2">
      <c r="B443" s="41" t="e">
        <f>IF(#REF!="credit",#REF!, (#REF!* -1))</f>
        <v>#REF!</v>
      </c>
    </row>
    <row r="444" spans="2:2" x14ac:dyDescent="0.2">
      <c r="B444" s="41" t="e">
        <f>IF(#REF!="credit",#REF!, (#REF!* -1))</f>
        <v>#REF!</v>
      </c>
    </row>
    <row r="445" spans="2:2" x14ac:dyDescent="0.2">
      <c r="B445" s="41" t="e">
        <f>IF(#REF!="credit",#REF!, (#REF!* -1))</f>
        <v>#REF!</v>
      </c>
    </row>
    <row r="446" spans="2:2" x14ac:dyDescent="0.2">
      <c r="B446" s="41" t="e">
        <f>IF(#REF!="credit",#REF!, (#REF!* -1))</f>
        <v>#REF!</v>
      </c>
    </row>
    <row r="447" spans="2:2" x14ac:dyDescent="0.2">
      <c r="B447" s="41" t="e">
        <f>IF(#REF!="credit",#REF!, (#REF!* -1))</f>
        <v>#REF!</v>
      </c>
    </row>
    <row r="448" spans="2:2" x14ac:dyDescent="0.2">
      <c r="B448" s="41" t="e">
        <f>IF(#REF!="credit",#REF!, (#REF!* -1))</f>
        <v>#REF!</v>
      </c>
    </row>
    <row r="449" spans="2:2" x14ac:dyDescent="0.2">
      <c r="B449" s="41" t="e">
        <f>IF(#REF!="credit",#REF!, (#REF!* -1))</f>
        <v>#REF!</v>
      </c>
    </row>
    <row r="450" spans="2:2" x14ac:dyDescent="0.2">
      <c r="B450" s="41" t="e">
        <f>IF(#REF!="credit",#REF!, (#REF!* -1))</f>
        <v>#REF!</v>
      </c>
    </row>
    <row r="451" spans="2:2" x14ac:dyDescent="0.2">
      <c r="B451" s="41" t="e">
        <f>IF(#REF!="credit",#REF!, (#REF!* -1))</f>
        <v>#REF!</v>
      </c>
    </row>
    <row r="452" spans="2:2" x14ac:dyDescent="0.2">
      <c r="B452" s="41" t="e">
        <f>IF(#REF!="credit",#REF!, (#REF!* -1))</f>
        <v>#REF!</v>
      </c>
    </row>
    <row r="453" spans="2:2" x14ac:dyDescent="0.2">
      <c r="B453" s="41" t="e">
        <f>IF(#REF!="credit",#REF!, (#REF!* -1))</f>
        <v>#REF!</v>
      </c>
    </row>
    <row r="454" spans="2:2" x14ac:dyDescent="0.2">
      <c r="B454" s="41" t="e">
        <f>IF(#REF!="credit",#REF!, (#REF!* -1))</f>
        <v>#REF!</v>
      </c>
    </row>
    <row r="455" spans="2:2" x14ac:dyDescent="0.2">
      <c r="B455" s="41" t="e">
        <f>IF(#REF!="credit",#REF!, (#REF!* -1))</f>
        <v>#REF!</v>
      </c>
    </row>
    <row r="456" spans="2:2" x14ac:dyDescent="0.2">
      <c r="B456" s="41" t="e">
        <f>IF(#REF!="credit",#REF!, (#REF!* -1))</f>
        <v>#REF!</v>
      </c>
    </row>
    <row r="457" spans="2:2" x14ac:dyDescent="0.2">
      <c r="B457" s="41" t="e">
        <f>IF(#REF!="credit",#REF!, (#REF!* -1))</f>
        <v>#REF!</v>
      </c>
    </row>
    <row r="458" spans="2:2" x14ac:dyDescent="0.2">
      <c r="B458" s="41" t="e">
        <f>IF(#REF!="credit",#REF!, (#REF!* -1))</f>
        <v>#REF!</v>
      </c>
    </row>
    <row r="459" spans="2:2" x14ac:dyDescent="0.2">
      <c r="B459" s="41" t="e">
        <f>IF(#REF!="credit",#REF!, (#REF!* -1))</f>
        <v>#REF!</v>
      </c>
    </row>
    <row r="460" spans="2:2" x14ac:dyDescent="0.2">
      <c r="B460" s="41" t="e">
        <f>IF(#REF!="credit",#REF!, (#REF!* -1))</f>
        <v>#REF!</v>
      </c>
    </row>
    <row r="461" spans="2:2" x14ac:dyDescent="0.2">
      <c r="B461" s="41" t="e">
        <f>IF(#REF!="credit",#REF!, (#REF!* -1))</f>
        <v>#REF!</v>
      </c>
    </row>
    <row r="462" spans="2:2" x14ac:dyDescent="0.2">
      <c r="B462" s="41" t="e">
        <f>IF(#REF!="credit",#REF!, (#REF!* -1))</f>
        <v>#REF!</v>
      </c>
    </row>
    <row r="463" spans="2:2" x14ac:dyDescent="0.2">
      <c r="B463" s="41" t="e">
        <f>IF(#REF!="credit",#REF!, (#REF!* -1))</f>
        <v>#REF!</v>
      </c>
    </row>
    <row r="464" spans="2:2" x14ac:dyDescent="0.2">
      <c r="B464" s="41" t="e">
        <f>IF(#REF!="credit",#REF!, (#REF!* -1))</f>
        <v>#REF!</v>
      </c>
    </row>
    <row r="465" spans="2:2" x14ac:dyDescent="0.2">
      <c r="B465" s="41" t="e">
        <f>IF(#REF!="credit",#REF!, (#REF!* -1))</f>
        <v>#REF!</v>
      </c>
    </row>
    <row r="466" spans="2:2" x14ac:dyDescent="0.2">
      <c r="B466" s="41" t="e">
        <f>IF(#REF!="credit",#REF!, (#REF!* -1))</f>
        <v>#REF!</v>
      </c>
    </row>
    <row r="467" spans="2:2" x14ac:dyDescent="0.2">
      <c r="B467" s="41" t="e">
        <f>IF(#REF!="credit",#REF!, (#REF!* -1))</f>
        <v>#REF!</v>
      </c>
    </row>
    <row r="468" spans="2:2" x14ac:dyDescent="0.2">
      <c r="B468" s="41" t="e">
        <f>IF(#REF!="credit",#REF!, (#REF!* -1))</f>
        <v>#REF!</v>
      </c>
    </row>
    <row r="469" spans="2:2" x14ac:dyDescent="0.2">
      <c r="B469" s="41" t="e">
        <f>IF(#REF!="credit",#REF!, (#REF!* -1))</f>
        <v>#REF!</v>
      </c>
    </row>
    <row r="470" spans="2:2" x14ac:dyDescent="0.2">
      <c r="B470" s="41" t="e">
        <f>IF(#REF!="credit",#REF!, (#REF!* -1))</f>
        <v>#REF!</v>
      </c>
    </row>
    <row r="471" spans="2:2" x14ac:dyDescent="0.2">
      <c r="B471" s="41" t="e">
        <f>IF(#REF!="credit",#REF!, (#REF!* -1))</f>
        <v>#REF!</v>
      </c>
    </row>
    <row r="472" spans="2:2" x14ac:dyDescent="0.2">
      <c r="B472" s="41" t="e">
        <f>IF(#REF!="credit",#REF!, (#REF!* -1))</f>
        <v>#REF!</v>
      </c>
    </row>
    <row r="473" spans="2:2" x14ac:dyDescent="0.2">
      <c r="B473" s="41" t="e">
        <f>IF(#REF!="credit",#REF!, (#REF!* -1))</f>
        <v>#REF!</v>
      </c>
    </row>
    <row r="474" spans="2:2" x14ac:dyDescent="0.2">
      <c r="B474" s="41" t="e">
        <f>IF(#REF!="credit",#REF!, (#REF!* -1))</f>
        <v>#REF!</v>
      </c>
    </row>
    <row r="475" spans="2:2" x14ac:dyDescent="0.2">
      <c r="B475" s="41" t="e">
        <f>IF(#REF!="credit",#REF!, (#REF!* -1))</f>
        <v>#REF!</v>
      </c>
    </row>
    <row r="476" spans="2:2" x14ac:dyDescent="0.2">
      <c r="B476" s="41" t="e">
        <f>IF(#REF!="credit",#REF!, (#REF!* -1))</f>
        <v>#REF!</v>
      </c>
    </row>
    <row r="477" spans="2:2" x14ac:dyDescent="0.2">
      <c r="B477" s="41" t="e">
        <f>IF(#REF!="credit",#REF!, (#REF!* -1))</f>
        <v>#REF!</v>
      </c>
    </row>
    <row r="478" spans="2:2" x14ac:dyDescent="0.2">
      <c r="B478" s="41" t="e">
        <f>IF(#REF!="credit",#REF!, (#REF!* -1))</f>
        <v>#REF!</v>
      </c>
    </row>
    <row r="479" spans="2:2" x14ac:dyDescent="0.2">
      <c r="B479" s="41" t="e">
        <f>IF(#REF!="credit",#REF!, (#REF!* -1))</f>
        <v>#REF!</v>
      </c>
    </row>
    <row r="480" spans="2:2" x14ac:dyDescent="0.2">
      <c r="B480" s="41" t="e">
        <f>IF(#REF!="credit",#REF!, (#REF!* -1))</f>
        <v>#REF!</v>
      </c>
    </row>
    <row r="481" spans="2:2" x14ac:dyDescent="0.2">
      <c r="B481" s="41" t="e">
        <f>IF(#REF!="credit",#REF!, (#REF!* -1))</f>
        <v>#REF!</v>
      </c>
    </row>
    <row r="482" spans="2:2" x14ac:dyDescent="0.2">
      <c r="B482" s="41" t="e">
        <f>IF(#REF!="credit",#REF!, (#REF!* -1))</f>
        <v>#REF!</v>
      </c>
    </row>
    <row r="483" spans="2:2" x14ac:dyDescent="0.2">
      <c r="B483" s="41" t="e">
        <f>IF(#REF!="credit",#REF!, (#REF!* -1))</f>
        <v>#REF!</v>
      </c>
    </row>
    <row r="484" spans="2:2" x14ac:dyDescent="0.2">
      <c r="B484" s="41" t="e">
        <f>IF(#REF!="credit",#REF!, (#REF!* -1))</f>
        <v>#REF!</v>
      </c>
    </row>
    <row r="485" spans="2:2" x14ac:dyDescent="0.2">
      <c r="B485" s="41" t="e">
        <f>IF(#REF!="credit",#REF!, (#REF!* -1))</f>
        <v>#REF!</v>
      </c>
    </row>
    <row r="486" spans="2:2" x14ac:dyDescent="0.2">
      <c r="B486" s="41" t="e">
        <f>IF(#REF!="credit",#REF!, (#REF!* -1))</f>
        <v>#REF!</v>
      </c>
    </row>
    <row r="487" spans="2:2" x14ac:dyDescent="0.2">
      <c r="B487" s="41" t="e">
        <f>IF(#REF!="credit",#REF!, (#REF!* -1))</f>
        <v>#REF!</v>
      </c>
    </row>
    <row r="488" spans="2:2" x14ac:dyDescent="0.2">
      <c r="B488" s="41" t="e">
        <f>IF(#REF!="credit",#REF!, (#REF!* -1))</f>
        <v>#REF!</v>
      </c>
    </row>
    <row r="489" spans="2:2" x14ac:dyDescent="0.2">
      <c r="B489" s="41" t="e">
        <f>IF(#REF!="credit",#REF!, (#REF!* -1))</f>
        <v>#REF!</v>
      </c>
    </row>
    <row r="490" spans="2:2" x14ac:dyDescent="0.2">
      <c r="B490" s="41" t="e">
        <f>IF(#REF!="credit",#REF!, (#REF!* -1))</f>
        <v>#REF!</v>
      </c>
    </row>
    <row r="491" spans="2:2" x14ac:dyDescent="0.2">
      <c r="B491" s="41" t="e">
        <f>IF(#REF!="credit",#REF!, (#REF!* -1))</f>
        <v>#REF!</v>
      </c>
    </row>
    <row r="492" spans="2:2" x14ac:dyDescent="0.2">
      <c r="B492" s="41" t="e">
        <f>IF(#REF!="credit",#REF!, (#REF!* -1))</f>
        <v>#REF!</v>
      </c>
    </row>
    <row r="493" spans="2:2" x14ac:dyDescent="0.2">
      <c r="B493" s="41" t="e">
        <f>IF(#REF!="credit",#REF!, (#REF!* -1))</f>
        <v>#REF!</v>
      </c>
    </row>
    <row r="494" spans="2:2" x14ac:dyDescent="0.2">
      <c r="B494" s="41" t="e">
        <f>IF(#REF!="credit",#REF!, (#REF!* -1))</f>
        <v>#REF!</v>
      </c>
    </row>
    <row r="495" spans="2:2" x14ac:dyDescent="0.2">
      <c r="B495" s="41" t="e">
        <f>IF(#REF!="credit",#REF!, (#REF!* -1))</f>
        <v>#REF!</v>
      </c>
    </row>
    <row r="496" spans="2:2" x14ac:dyDescent="0.2">
      <c r="B496" s="41" t="e">
        <f>IF(#REF!="credit",#REF!, (#REF!* -1))</f>
        <v>#REF!</v>
      </c>
    </row>
    <row r="497" spans="2:2" x14ac:dyDescent="0.2">
      <c r="B497" s="41" t="e">
        <f>IF(#REF!="credit",#REF!, (#REF!* -1))</f>
        <v>#REF!</v>
      </c>
    </row>
    <row r="498" spans="2:2" x14ac:dyDescent="0.2">
      <c r="B498" s="41" t="e">
        <f>IF(#REF!="credit",#REF!, (#REF!* -1))</f>
        <v>#REF!</v>
      </c>
    </row>
    <row r="499" spans="2:2" x14ac:dyDescent="0.2">
      <c r="B499" s="41" t="e">
        <f>IF(#REF!="credit",#REF!, (#REF!* -1))</f>
        <v>#REF!</v>
      </c>
    </row>
    <row r="500" spans="2:2" x14ac:dyDescent="0.2">
      <c r="B500" s="41" t="e">
        <f>IF(#REF!="credit",#REF!, (#REF!* -1))</f>
        <v>#REF!</v>
      </c>
    </row>
    <row r="501" spans="2:2" x14ac:dyDescent="0.2">
      <c r="B501" s="41" t="e">
        <f>IF(#REF!="credit",#REF!, (#REF!* -1))</f>
        <v>#REF!</v>
      </c>
    </row>
    <row r="502" spans="2:2" x14ac:dyDescent="0.2">
      <c r="B502" s="41" t="e">
        <f>IF(#REF!="credit",#REF!, (#REF!* -1))</f>
        <v>#REF!</v>
      </c>
    </row>
    <row r="503" spans="2:2" x14ac:dyDescent="0.2">
      <c r="B503" s="41" t="e">
        <f>IF(#REF!="credit",#REF!, (#REF!* -1))</f>
        <v>#REF!</v>
      </c>
    </row>
    <row r="504" spans="2:2" x14ac:dyDescent="0.2">
      <c r="B504" s="41" t="e">
        <f>IF(#REF!="credit",#REF!, (#REF!* -1))</f>
        <v>#REF!</v>
      </c>
    </row>
    <row r="505" spans="2:2" x14ac:dyDescent="0.2">
      <c r="B505" s="41" t="e">
        <f>IF(#REF!="credit",#REF!, (#REF!* -1))</f>
        <v>#REF!</v>
      </c>
    </row>
    <row r="506" spans="2:2" x14ac:dyDescent="0.2">
      <c r="B506" s="41" t="e">
        <f>IF(#REF!="credit",#REF!, (#REF!* -1))</f>
        <v>#REF!</v>
      </c>
    </row>
    <row r="507" spans="2:2" x14ac:dyDescent="0.2">
      <c r="B507" s="41" t="e">
        <f>IF(#REF!="credit",#REF!, (#REF!* -1))</f>
        <v>#REF!</v>
      </c>
    </row>
    <row r="508" spans="2:2" x14ac:dyDescent="0.2">
      <c r="B508" s="41" t="e">
        <f>IF(#REF!="credit",#REF!, (#REF!* -1))</f>
        <v>#REF!</v>
      </c>
    </row>
    <row r="509" spans="2:2" x14ac:dyDescent="0.2">
      <c r="B509" s="41" t="e">
        <f>IF(#REF!="credit",#REF!, (#REF!* -1))</f>
        <v>#REF!</v>
      </c>
    </row>
    <row r="510" spans="2:2" x14ac:dyDescent="0.2">
      <c r="B510" s="41" t="e">
        <f>IF(#REF!="credit",#REF!, (#REF!* -1))</f>
        <v>#REF!</v>
      </c>
    </row>
    <row r="511" spans="2:2" x14ac:dyDescent="0.2">
      <c r="B511" s="41" t="e">
        <f>IF(#REF!="credit",#REF!, (#REF!* -1))</f>
        <v>#REF!</v>
      </c>
    </row>
    <row r="512" spans="2:2" x14ac:dyDescent="0.2">
      <c r="B512" s="41" t="e">
        <f>IF(#REF!="credit",#REF!, (#REF!* -1))</f>
        <v>#REF!</v>
      </c>
    </row>
    <row r="513" spans="2:2" x14ac:dyDescent="0.2">
      <c r="B513" s="41" t="e">
        <f>IF(#REF!="credit",#REF!, (#REF!* -1))</f>
        <v>#REF!</v>
      </c>
    </row>
    <row r="514" spans="2:2" x14ac:dyDescent="0.2">
      <c r="B514" s="41" t="e">
        <f>IF(#REF!="credit",#REF!, (#REF!* -1))</f>
        <v>#REF!</v>
      </c>
    </row>
    <row r="515" spans="2:2" x14ac:dyDescent="0.2">
      <c r="B515" s="41" t="e">
        <f>IF(#REF!="credit",#REF!, (#REF!* -1))</f>
        <v>#REF!</v>
      </c>
    </row>
    <row r="516" spans="2:2" x14ac:dyDescent="0.2">
      <c r="B516" s="41" t="e">
        <f>IF(#REF!="credit",#REF!, (#REF!* -1))</f>
        <v>#REF!</v>
      </c>
    </row>
    <row r="517" spans="2:2" x14ac:dyDescent="0.2">
      <c r="B517" s="41" t="e">
        <f>IF(#REF!="credit",#REF!, (#REF!* -1))</f>
        <v>#REF!</v>
      </c>
    </row>
    <row r="518" spans="2:2" x14ac:dyDescent="0.2">
      <c r="B518" s="41" t="e">
        <f>IF(#REF!="credit",#REF!, (#REF!* -1))</f>
        <v>#REF!</v>
      </c>
    </row>
    <row r="519" spans="2:2" x14ac:dyDescent="0.2">
      <c r="B519" s="41" t="e">
        <f>IF(#REF!="credit",#REF!, (#REF!* -1))</f>
        <v>#REF!</v>
      </c>
    </row>
    <row r="520" spans="2:2" x14ac:dyDescent="0.2">
      <c r="B520" s="41" t="e">
        <f>IF(#REF!="credit",#REF!, (#REF!* -1))</f>
        <v>#REF!</v>
      </c>
    </row>
    <row r="521" spans="2:2" x14ac:dyDescent="0.2">
      <c r="B521" s="41" t="e">
        <f>IF(#REF!="credit",#REF!, (#REF!* -1))</f>
        <v>#REF!</v>
      </c>
    </row>
    <row r="522" spans="2:2" x14ac:dyDescent="0.2">
      <c r="B522" s="41" t="e">
        <f>IF(#REF!="credit",#REF!, (#REF!* -1))</f>
        <v>#REF!</v>
      </c>
    </row>
    <row r="523" spans="2:2" x14ac:dyDescent="0.2">
      <c r="B523" s="41" t="e">
        <f>IF(#REF!="credit",#REF!, (#REF!* -1))</f>
        <v>#REF!</v>
      </c>
    </row>
    <row r="524" spans="2:2" x14ac:dyDescent="0.2">
      <c r="B524" s="41" t="e">
        <f>IF(#REF!="credit",#REF!, (#REF!* -1))</f>
        <v>#REF!</v>
      </c>
    </row>
    <row r="525" spans="2:2" x14ac:dyDescent="0.2">
      <c r="B525" s="41" t="e">
        <f>IF(#REF!="credit",#REF!, (#REF!* -1))</f>
        <v>#REF!</v>
      </c>
    </row>
    <row r="526" spans="2:2" x14ac:dyDescent="0.2">
      <c r="B526" s="41" t="e">
        <f>IF(#REF!="credit",#REF!, (#REF!* -1))</f>
        <v>#REF!</v>
      </c>
    </row>
    <row r="527" spans="2:2" x14ac:dyDescent="0.2">
      <c r="B527" s="41" t="e">
        <f>IF(#REF!="credit",#REF!, (#REF!* -1))</f>
        <v>#REF!</v>
      </c>
    </row>
    <row r="528" spans="2:2" x14ac:dyDescent="0.2">
      <c r="B528" s="41" t="e">
        <f>IF(#REF!="credit",#REF!, (#REF!* -1))</f>
        <v>#REF!</v>
      </c>
    </row>
    <row r="529" spans="2:2" x14ac:dyDescent="0.2">
      <c r="B529" s="41" t="e">
        <f>IF(#REF!="credit",#REF!, (#REF!* -1))</f>
        <v>#REF!</v>
      </c>
    </row>
    <row r="530" spans="2:2" x14ac:dyDescent="0.2">
      <c r="B530" s="41" t="e">
        <f>IF(#REF!="credit",#REF!, (#REF!* -1))</f>
        <v>#REF!</v>
      </c>
    </row>
    <row r="531" spans="2:2" x14ac:dyDescent="0.2">
      <c r="B531" s="41" t="e">
        <f>IF(#REF!="credit",#REF!, (#REF!* -1))</f>
        <v>#REF!</v>
      </c>
    </row>
    <row r="532" spans="2:2" x14ac:dyDescent="0.2">
      <c r="B532" s="41" t="e">
        <f>IF(#REF!="credit",#REF!, (#REF!* -1))</f>
        <v>#REF!</v>
      </c>
    </row>
    <row r="533" spans="2:2" x14ac:dyDescent="0.2">
      <c r="B533" s="41" t="e">
        <f>IF(#REF!="credit",#REF!, (#REF!* -1))</f>
        <v>#REF!</v>
      </c>
    </row>
    <row r="534" spans="2:2" x14ac:dyDescent="0.2">
      <c r="B534" s="41" t="e">
        <f>IF(#REF!="credit",#REF!, (#REF!* -1))</f>
        <v>#REF!</v>
      </c>
    </row>
    <row r="535" spans="2:2" x14ac:dyDescent="0.2">
      <c r="B535" s="41" t="e">
        <f>IF(#REF!="credit",#REF!, (#REF!* -1))</f>
        <v>#REF!</v>
      </c>
    </row>
    <row r="536" spans="2:2" x14ac:dyDescent="0.2">
      <c r="B536" s="41" t="e">
        <f>IF(#REF!="credit",#REF!, (#REF!* -1))</f>
        <v>#REF!</v>
      </c>
    </row>
    <row r="537" spans="2:2" x14ac:dyDescent="0.2">
      <c r="B537" s="41" t="e">
        <f>IF(#REF!="credit",#REF!, (#REF!* -1))</f>
        <v>#REF!</v>
      </c>
    </row>
    <row r="538" spans="2:2" x14ac:dyDescent="0.2">
      <c r="B538" s="41" t="e">
        <f>IF(#REF!="credit",#REF!, (#REF!* -1))</f>
        <v>#REF!</v>
      </c>
    </row>
    <row r="539" spans="2:2" x14ac:dyDescent="0.2">
      <c r="B539" s="41" t="e">
        <f>IF(#REF!="credit",#REF!, (#REF!* -1))</f>
        <v>#REF!</v>
      </c>
    </row>
    <row r="540" spans="2:2" x14ac:dyDescent="0.2">
      <c r="B540" s="41" t="e">
        <f>IF(#REF!="credit",#REF!, (#REF!* -1))</f>
        <v>#REF!</v>
      </c>
    </row>
    <row r="541" spans="2:2" x14ac:dyDescent="0.2">
      <c r="B541" s="41" t="e">
        <f>IF(#REF!="credit",#REF!, (#REF!* -1))</f>
        <v>#REF!</v>
      </c>
    </row>
    <row r="542" spans="2:2" x14ac:dyDescent="0.2">
      <c r="B542" s="41" t="e">
        <f>IF(#REF!="credit",#REF!, (#REF!* -1))</f>
        <v>#REF!</v>
      </c>
    </row>
    <row r="543" spans="2:2" x14ac:dyDescent="0.2">
      <c r="B543" s="41" t="e">
        <f>IF(#REF!="credit",#REF!, (#REF!* -1))</f>
        <v>#REF!</v>
      </c>
    </row>
    <row r="544" spans="2:2" x14ac:dyDescent="0.2">
      <c r="B544" s="41" t="e">
        <f>IF(#REF!="credit",#REF!, (#REF!* -1))</f>
        <v>#REF!</v>
      </c>
    </row>
    <row r="545" spans="2:2" x14ac:dyDescent="0.2">
      <c r="B545" s="41" t="e">
        <f>IF(#REF!="credit",#REF!, (#REF!* -1))</f>
        <v>#REF!</v>
      </c>
    </row>
    <row r="546" spans="2:2" x14ac:dyDescent="0.2">
      <c r="B546" s="41" t="e">
        <f>IF(#REF!="credit",#REF!, (#REF!* -1))</f>
        <v>#REF!</v>
      </c>
    </row>
    <row r="547" spans="2:2" x14ac:dyDescent="0.2">
      <c r="B547" s="41" t="e">
        <f>IF(#REF!="credit",#REF!, (#REF!* -1))</f>
        <v>#REF!</v>
      </c>
    </row>
    <row r="548" spans="2:2" x14ac:dyDescent="0.2">
      <c r="B548" s="41" t="e">
        <f>IF(#REF!="credit",#REF!, (#REF!* -1))</f>
        <v>#REF!</v>
      </c>
    </row>
    <row r="549" spans="2:2" x14ac:dyDescent="0.2">
      <c r="B549" s="41" t="e">
        <f>IF(#REF!="credit",#REF!, (#REF!* -1))</f>
        <v>#REF!</v>
      </c>
    </row>
    <row r="550" spans="2:2" x14ac:dyDescent="0.2">
      <c r="B550" s="41" t="e">
        <f>IF(#REF!="credit",#REF!, (#REF!* -1))</f>
        <v>#REF!</v>
      </c>
    </row>
    <row r="551" spans="2:2" x14ac:dyDescent="0.2">
      <c r="B551" s="41" t="e">
        <f>IF(#REF!="credit",#REF!, (#REF!* -1))</f>
        <v>#REF!</v>
      </c>
    </row>
    <row r="552" spans="2:2" x14ac:dyDescent="0.2">
      <c r="B552" s="41" t="e">
        <f>IF(#REF!="credit",#REF!, (#REF!* -1))</f>
        <v>#REF!</v>
      </c>
    </row>
    <row r="553" spans="2:2" x14ac:dyDescent="0.2">
      <c r="B553" s="41" t="e">
        <f>IF(#REF!="credit",#REF!, (#REF!* -1))</f>
        <v>#REF!</v>
      </c>
    </row>
    <row r="554" spans="2:2" x14ac:dyDescent="0.2">
      <c r="B554" s="41" t="e">
        <f>IF(#REF!="credit",#REF!, (#REF!* -1))</f>
        <v>#REF!</v>
      </c>
    </row>
    <row r="555" spans="2:2" x14ac:dyDescent="0.2">
      <c r="B555" s="41" t="e">
        <f>IF(#REF!="credit",#REF!, (#REF!* -1))</f>
        <v>#REF!</v>
      </c>
    </row>
    <row r="556" spans="2:2" x14ac:dyDescent="0.2">
      <c r="B556" s="41" t="e">
        <f>IF(#REF!="credit",#REF!, (#REF!* -1))</f>
        <v>#REF!</v>
      </c>
    </row>
    <row r="557" spans="2:2" x14ac:dyDescent="0.2">
      <c r="B557" s="41" t="e">
        <f>IF(#REF!="credit",#REF!, (#REF!* -1))</f>
        <v>#REF!</v>
      </c>
    </row>
    <row r="558" spans="2:2" x14ac:dyDescent="0.2">
      <c r="B558" s="41" t="e">
        <f>IF(#REF!="credit",#REF!, (#REF!* -1))</f>
        <v>#REF!</v>
      </c>
    </row>
    <row r="559" spans="2:2" x14ac:dyDescent="0.2">
      <c r="B559" s="41" t="e">
        <f>IF(#REF!="credit",#REF!, (#REF!* -1))</f>
        <v>#REF!</v>
      </c>
    </row>
    <row r="560" spans="2:2" x14ac:dyDescent="0.2">
      <c r="B560" s="41" t="e">
        <f>IF(#REF!="credit",#REF!, (#REF!* -1))</f>
        <v>#REF!</v>
      </c>
    </row>
    <row r="561" spans="2:2" x14ac:dyDescent="0.2">
      <c r="B561" s="41" t="e">
        <f>IF(#REF!="credit",#REF!, (#REF!* -1))</f>
        <v>#REF!</v>
      </c>
    </row>
    <row r="562" spans="2:2" x14ac:dyDescent="0.2">
      <c r="B562" s="41" t="e">
        <f>IF(#REF!="credit",#REF!, (#REF!* -1))</f>
        <v>#REF!</v>
      </c>
    </row>
    <row r="563" spans="2:2" x14ac:dyDescent="0.2">
      <c r="B563" s="41" t="e">
        <f>IF(#REF!="credit",#REF!, (#REF!* -1))</f>
        <v>#REF!</v>
      </c>
    </row>
    <row r="564" spans="2:2" x14ac:dyDescent="0.2">
      <c r="B564" s="41" t="e">
        <f>IF(#REF!="credit",#REF!, (#REF!* -1))</f>
        <v>#REF!</v>
      </c>
    </row>
    <row r="565" spans="2:2" x14ac:dyDescent="0.2">
      <c r="B565" s="41" t="e">
        <f>IF(#REF!="credit",#REF!, (#REF!* -1))</f>
        <v>#REF!</v>
      </c>
    </row>
    <row r="566" spans="2:2" x14ac:dyDescent="0.2">
      <c r="B566" s="41" t="e">
        <f>IF(#REF!="credit",#REF!, (#REF!* -1))</f>
        <v>#REF!</v>
      </c>
    </row>
    <row r="567" spans="2:2" x14ac:dyDescent="0.2">
      <c r="B567" s="41" t="e">
        <f>IF(#REF!="credit",#REF!, (#REF!* -1))</f>
        <v>#REF!</v>
      </c>
    </row>
    <row r="568" spans="2:2" x14ac:dyDescent="0.2">
      <c r="B568" s="41" t="e">
        <f>IF(#REF!="credit",#REF!, (#REF!* -1))</f>
        <v>#REF!</v>
      </c>
    </row>
    <row r="569" spans="2:2" x14ac:dyDescent="0.2">
      <c r="B569" s="41" t="e">
        <f>IF(#REF!="credit",#REF!, (#REF!* -1))</f>
        <v>#REF!</v>
      </c>
    </row>
    <row r="570" spans="2:2" x14ac:dyDescent="0.2">
      <c r="B570" s="41" t="e">
        <f>IF(#REF!="credit",#REF!, (#REF!* -1))</f>
        <v>#REF!</v>
      </c>
    </row>
    <row r="571" spans="2:2" x14ac:dyDescent="0.2">
      <c r="B571" s="41" t="e">
        <f>IF(#REF!="credit",#REF!, (#REF!* -1))</f>
        <v>#REF!</v>
      </c>
    </row>
    <row r="572" spans="2:2" x14ac:dyDescent="0.2">
      <c r="B572" s="41" t="e">
        <f>IF(#REF!="credit",#REF!, (#REF!* -1))</f>
        <v>#REF!</v>
      </c>
    </row>
    <row r="573" spans="2:2" x14ac:dyDescent="0.2">
      <c r="B573" s="41" t="e">
        <f>IF(#REF!="credit",#REF!, (#REF!* -1))</f>
        <v>#REF!</v>
      </c>
    </row>
    <row r="574" spans="2:2" x14ac:dyDescent="0.2">
      <c r="B574" s="41" t="e">
        <f>IF(#REF!="credit",#REF!, (#REF!* -1))</f>
        <v>#REF!</v>
      </c>
    </row>
    <row r="575" spans="2:2" x14ac:dyDescent="0.2">
      <c r="B575" s="41" t="e">
        <f>IF(#REF!="credit",#REF!, (#REF!* -1))</f>
        <v>#REF!</v>
      </c>
    </row>
    <row r="576" spans="2:2" x14ac:dyDescent="0.2">
      <c r="B576" s="41" t="e">
        <f>IF(#REF!="credit",#REF!, (#REF!* -1))</f>
        <v>#REF!</v>
      </c>
    </row>
    <row r="577" spans="2:2" x14ac:dyDescent="0.2">
      <c r="B577" s="41" t="e">
        <f>IF(#REF!="credit",#REF!, (#REF!* -1))</f>
        <v>#REF!</v>
      </c>
    </row>
    <row r="578" spans="2:2" x14ac:dyDescent="0.2">
      <c r="B578" s="41" t="e">
        <f>IF(#REF!="credit",#REF!, (#REF!* -1))</f>
        <v>#REF!</v>
      </c>
    </row>
    <row r="579" spans="2:2" x14ac:dyDescent="0.2">
      <c r="B579" s="41" t="e">
        <f>IF(#REF!="credit",#REF!, (#REF!* -1))</f>
        <v>#REF!</v>
      </c>
    </row>
    <row r="580" spans="2:2" x14ac:dyDescent="0.2">
      <c r="B580" s="41" t="e">
        <f>IF(#REF!="credit",#REF!, (#REF!* -1))</f>
        <v>#REF!</v>
      </c>
    </row>
    <row r="581" spans="2:2" x14ac:dyDescent="0.2">
      <c r="B581" s="41" t="e">
        <f>IF(#REF!="credit",#REF!, (#REF!* -1))</f>
        <v>#REF!</v>
      </c>
    </row>
    <row r="582" spans="2:2" x14ac:dyDescent="0.2">
      <c r="B582" s="41" t="e">
        <f>IF(#REF!="credit",#REF!, (#REF!* -1))</f>
        <v>#REF!</v>
      </c>
    </row>
    <row r="583" spans="2:2" x14ac:dyDescent="0.2">
      <c r="B583" s="41" t="e">
        <f>IF(#REF!="credit",#REF!, (#REF!* -1))</f>
        <v>#REF!</v>
      </c>
    </row>
    <row r="584" spans="2:2" x14ac:dyDescent="0.2">
      <c r="B584" s="41" t="e">
        <f>IF(#REF!="credit",#REF!, (#REF!* -1))</f>
        <v>#REF!</v>
      </c>
    </row>
    <row r="585" spans="2:2" x14ac:dyDescent="0.2">
      <c r="B585" s="41" t="e">
        <f>IF(#REF!="credit",#REF!, (#REF!* -1))</f>
        <v>#REF!</v>
      </c>
    </row>
    <row r="586" spans="2:2" x14ac:dyDescent="0.2">
      <c r="B586" s="41" t="e">
        <f>IF(#REF!="credit",#REF!, (#REF!* -1))</f>
        <v>#REF!</v>
      </c>
    </row>
    <row r="587" spans="2:2" x14ac:dyDescent="0.2">
      <c r="B587" s="41" t="e">
        <f>IF(#REF!="credit",#REF!, (#REF!* -1))</f>
        <v>#REF!</v>
      </c>
    </row>
    <row r="588" spans="2:2" x14ac:dyDescent="0.2">
      <c r="B588" s="41" t="e">
        <f>IF(#REF!="credit",#REF!, (#REF!* -1))</f>
        <v>#REF!</v>
      </c>
    </row>
    <row r="589" spans="2:2" x14ac:dyDescent="0.2">
      <c r="B589" s="41" t="e">
        <f>IF(#REF!="credit",#REF!, (#REF!* -1))</f>
        <v>#REF!</v>
      </c>
    </row>
    <row r="590" spans="2:2" x14ac:dyDescent="0.2">
      <c r="B590" s="41" t="e">
        <f>IF(#REF!="credit",#REF!, (#REF!* -1))</f>
        <v>#REF!</v>
      </c>
    </row>
    <row r="591" spans="2:2" x14ac:dyDescent="0.2">
      <c r="B591" s="41" t="e">
        <f>IF(#REF!="credit",#REF!, (#REF!* -1))</f>
        <v>#REF!</v>
      </c>
    </row>
    <row r="592" spans="2:2" x14ac:dyDescent="0.2">
      <c r="B592" s="41" t="e">
        <f>IF(#REF!="credit",#REF!, (#REF!* -1))</f>
        <v>#REF!</v>
      </c>
    </row>
    <row r="593" spans="2:2" x14ac:dyDescent="0.2">
      <c r="B593" s="41" t="e">
        <f>IF(#REF!="credit",#REF!, (#REF!* -1))</f>
        <v>#REF!</v>
      </c>
    </row>
    <row r="594" spans="2:2" x14ac:dyDescent="0.2">
      <c r="B594" s="41" t="e">
        <f>IF(#REF!="credit",#REF!, (#REF!* -1))</f>
        <v>#REF!</v>
      </c>
    </row>
    <row r="595" spans="2:2" x14ac:dyDescent="0.2">
      <c r="B595" s="41" t="e">
        <f>IF(#REF!="credit",#REF!, (#REF!* -1))</f>
        <v>#REF!</v>
      </c>
    </row>
    <row r="596" spans="2:2" x14ac:dyDescent="0.2">
      <c r="B596" s="41" t="e">
        <f>IF(#REF!="credit",#REF!, (#REF!* -1))</f>
        <v>#REF!</v>
      </c>
    </row>
    <row r="597" spans="2:2" x14ac:dyDescent="0.2">
      <c r="B597" s="41" t="e">
        <f>IF(#REF!="credit",#REF!, (#REF!* -1))</f>
        <v>#REF!</v>
      </c>
    </row>
    <row r="598" spans="2:2" x14ac:dyDescent="0.2">
      <c r="B598" s="41" t="e">
        <f>IF(#REF!="credit",#REF!, (#REF!* -1))</f>
        <v>#REF!</v>
      </c>
    </row>
    <row r="599" spans="2:2" x14ac:dyDescent="0.2">
      <c r="B599" s="41" t="e">
        <f>IF(#REF!="credit",#REF!, (#REF!* -1))</f>
        <v>#REF!</v>
      </c>
    </row>
    <row r="600" spans="2:2" x14ac:dyDescent="0.2">
      <c r="B600" s="41" t="e">
        <f>IF(#REF!="credit",#REF!, (#REF!* -1))</f>
        <v>#REF!</v>
      </c>
    </row>
    <row r="601" spans="2:2" x14ac:dyDescent="0.2">
      <c r="B601" s="41" t="e">
        <f>IF(#REF!="credit",#REF!, (#REF!* -1))</f>
        <v>#REF!</v>
      </c>
    </row>
    <row r="602" spans="2:2" x14ac:dyDescent="0.2">
      <c r="B602" s="41" t="e">
        <f>IF(#REF!="credit",#REF!, (#REF!* -1))</f>
        <v>#REF!</v>
      </c>
    </row>
    <row r="603" spans="2:2" x14ac:dyDescent="0.2">
      <c r="B603" s="41" t="e">
        <f>IF(#REF!="credit",#REF!, (#REF!* -1))</f>
        <v>#REF!</v>
      </c>
    </row>
    <row r="604" spans="2:2" x14ac:dyDescent="0.2">
      <c r="B604" s="41" t="e">
        <f>IF(#REF!="credit",#REF!, (#REF!* -1))</f>
        <v>#REF!</v>
      </c>
    </row>
    <row r="605" spans="2:2" x14ac:dyDescent="0.2">
      <c r="B605" s="41" t="e">
        <f>IF(#REF!="credit",#REF!, (#REF!* -1))</f>
        <v>#REF!</v>
      </c>
    </row>
    <row r="606" spans="2:2" x14ac:dyDescent="0.2">
      <c r="B606" s="41" t="e">
        <f>IF(#REF!="credit",#REF!, (#REF!* -1))</f>
        <v>#REF!</v>
      </c>
    </row>
    <row r="607" spans="2:2" x14ac:dyDescent="0.2">
      <c r="B607" s="41" t="e">
        <f>IF(#REF!="credit",#REF!, (#REF!* -1))</f>
        <v>#REF!</v>
      </c>
    </row>
    <row r="608" spans="2:2" x14ac:dyDescent="0.2">
      <c r="B608" s="41" t="e">
        <f>IF(#REF!="credit",#REF!, (#REF!* -1))</f>
        <v>#REF!</v>
      </c>
    </row>
    <row r="609" spans="2:2" x14ac:dyDescent="0.2">
      <c r="B609" s="41" t="e">
        <f>IF(#REF!="credit",#REF!, (#REF!* -1))</f>
        <v>#REF!</v>
      </c>
    </row>
    <row r="610" spans="2:2" x14ac:dyDescent="0.2">
      <c r="B610" s="41" t="e">
        <f>IF(#REF!="credit",#REF!, (#REF!* -1))</f>
        <v>#REF!</v>
      </c>
    </row>
    <row r="611" spans="2:2" x14ac:dyDescent="0.2">
      <c r="B611" s="41" t="e">
        <f>IF(#REF!="credit",#REF!, (#REF!* -1))</f>
        <v>#REF!</v>
      </c>
    </row>
    <row r="612" spans="2:2" x14ac:dyDescent="0.2">
      <c r="B612" s="41" t="e">
        <f>IF(#REF!="credit",#REF!, (#REF!* -1))</f>
        <v>#REF!</v>
      </c>
    </row>
    <row r="613" spans="2:2" x14ac:dyDescent="0.2">
      <c r="B613" s="41" t="e">
        <f>IF(#REF!="credit",#REF!, (#REF!* -1))</f>
        <v>#REF!</v>
      </c>
    </row>
    <row r="614" spans="2:2" x14ac:dyDescent="0.2">
      <c r="B614" s="41" t="e">
        <f>IF(#REF!="credit",#REF!, (#REF!* -1))</f>
        <v>#REF!</v>
      </c>
    </row>
    <row r="615" spans="2:2" x14ac:dyDescent="0.2">
      <c r="B615" s="41" t="e">
        <f>IF(#REF!="credit",#REF!, (#REF!* -1))</f>
        <v>#REF!</v>
      </c>
    </row>
    <row r="616" spans="2:2" x14ac:dyDescent="0.2">
      <c r="B616" s="41" t="e">
        <f>IF(#REF!="credit",#REF!, (#REF!* -1))</f>
        <v>#REF!</v>
      </c>
    </row>
    <row r="617" spans="2:2" x14ac:dyDescent="0.2">
      <c r="B617" s="41" t="e">
        <f>IF(#REF!="credit",#REF!, (#REF!* -1))</f>
        <v>#REF!</v>
      </c>
    </row>
    <row r="618" spans="2:2" x14ac:dyDescent="0.2">
      <c r="B618" s="41" t="e">
        <f>IF(#REF!="credit",#REF!, (#REF!* -1))</f>
        <v>#REF!</v>
      </c>
    </row>
    <row r="619" spans="2:2" x14ac:dyDescent="0.2">
      <c r="B619" s="41" t="e">
        <f>IF(#REF!="credit",#REF!, (#REF!* -1))</f>
        <v>#REF!</v>
      </c>
    </row>
    <row r="620" spans="2:2" x14ac:dyDescent="0.2">
      <c r="B620" s="41" t="e">
        <f>IF(#REF!="credit",#REF!, (#REF!* -1))</f>
        <v>#REF!</v>
      </c>
    </row>
    <row r="621" spans="2:2" x14ac:dyDescent="0.2">
      <c r="B621" s="41" t="e">
        <f>IF(#REF!="credit",#REF!, (#REF!* -1))</f>
        <v>#REF!</v>
      </c>
    </row>
    <row r="622" spans="2:2" x14ac:dyDescent="0.2">
      <c r="B622" s="41" t="e">
        <f>IF(#REF!="credit",#REF!, (#REF!* -1))</f>
        <v>#REF!</v>
      </c>
    </row>
    <row r="623" spans="2:2" x14ac:dyDescent="0.2">
      <c r="B623" s="41" t="e">
        <f>IF(#REF!="credit",#REF!, (#REF!* -1))</f>
        <v>#REF!</v>
      </c>
    </row>
    <row r="624" spans="2:2" x14ac:dyDescent="0.2">
      <c r="B624" s="41" t="e">
        <f>IF(#REF!="credit",#REF!, (#REF!* -1))</f>
        <v>#REF!</v>
      </c>
    </row>
    <row r="625" spans="2:2" x14ac:dyDescent="0.2">
      <c r="B625" s="41" t="e">
        <f>IF(#REF!="credit",#REF!, (#REF!* -1))</f>
        <v>#REF!</v>
      </c>
    </row>
    <row r="626" spans="2:2" x14ac:dyDescent="0.2">
      <c r="B626" s="41" t="e">
        <f>IF(#REF!="credit",#REF!, (#REF!* -1))</f>
        <v>#REF!</v>
      </c>
    </row>
    <row r="627" spans="2:2" x14ac:dyDescent="0.2">
      <c r="B627" s="41" t="e">
        <f>IF(#REF!="credit",#REF!, (#REF!* -1))</f>
        <v>#REF!</v>
      </c>
    </row>
    <row r="628" spans="2:2" x14ac:dyDescent="0.2">
      <c r="B628" s="41" t="e">
        <f>IF(#REF!="credit",#REF!, (#REF!* -1))</f>
        <v>#REF!</v>
      </c>
    </row>
    <row r="629" spans="2:2" x14ac:dyDescent="0.2">
      <c r="B629" s="41" t="e">
        <f>IF(#REF!="credit",#REF!, (#REF!* -1))</f>
        <v>#REF!</v>
      </c>
    </row>
    <row r="630" spans="2:2" x14ac:dyDescent="0.2">
      <c r="B630" s="41" t="e">
        <f>IF(#REF!="credit",#REF!, (#REF!* -1))</f>
        <v>#REF!</v>
      </c>
    </row>
    <row r="631" spans="2:2" x14ac:dyDescent="0.2">
      <c r="B631" s="41" t="e">
        <f>IF(#REF!="credit",#REF!, (#REF!* -1))</f>
        <v>#REF!</v>
      </c>
    </row>
    <row r="632" spans="2:2" x14ac:dyDescent="0.2">
      <c r="B632" s="41" t="e">
        <f>IF(#REF!="credit",#REF!, (#REF!* -1))</f>
        <v>#REF!</v>
      </c>
    </row>
    <row r="633" spans="2:2" x14ac:dyDescent="0.2">
      <c r="B633" s="41" t="e">
        <f>IF(#REF!="credit",#REF!, (#REF!* -1))</f>
        <v>#REF!</v>
      </c>
    </row>
    <row r="634" spans="2:2" x14ac:dyDescent="0.2">
      <c r="B634" s="41" t="e">
        <f>IF(#REF!="credit",#REF!, (#REF!* -1))</f>
        <v>#REF!</v>
      </c>
    </row>
    <row r="635" spans="2:2" x14ac:dyDescent="0.2">
      <c r="B635" s="41" t="e">
        <f>IF(#REF!="credit",#REF!, (#REF!* -1))</f>
        <v>#REF!</v>
      </c>
    </row>
    <row r="636" spans="2:2" x14ac:dyDescent="0.2">
      <c r="B636" s="41" t="e">
        <f>IF(#REF!="credit",#REF!, (#REF!* -1))</f>
        <v>#REF!</v>
      </c>
    </row>
    <row r="637" spans="2:2" x14ac:dyDescent="0.2">
      <c r="B637" s="41" t="e">
        <f>IF(#REF!="credit",#REF!, (#REF!* -1))</f>
        <v>#REF!</v>
      </c>
    </row>
    <row r="638" spans="2:2" x14ac:dyDescent="0.2">
      <c r="B638" s="41" t="e">
        <f>IF(#REF!="credit",#REF!, (#REF!* -1))</f>
        <v>#REF!</v>
      </c>
    </row>
    <row r="639" spans="2:2" x14ac:dyDescent="0.2">
      <c r="B639" s="41" t="e">
        <f>IF(#REF!="credit",#REF!, (#REF!* -1))</f>
        <v>#REF!</v>
      </c>
    </row>
    <row r="640" spans="2:2" x14ac:dyDescent="0.2">
      <c r="B640" s="41" t="e">
        <f>IF(#REF!="credit",#REF!, (#REF!* -1))</f>
        <v>#REF!</v>
      </c>
    </row>
    <row r="641" spans="2:2" x14ac:dyDescent="0.2">
      <c r="B641" s="41" t="e">
        <f>IF(#REF!="credit",#REF!, (#REF!* -1))</f>
        <v>#REF!</v>
      </c>
    </row>
    <row r="642" spans="2:2" x14ac:dyDescent="0.2">
      <c r="B642" s="41" t="e">
        <f>IF(#REF!="credit",#REF!, (#REF!* -1))</f>
        <v>#REF!</v>
      </c>
    </row>
    <row r="643" spans="2:2" x14ac:dyDescent="0.2">
      <c r="B643" s="41" t="e">
        <f>IF(#REF!="credit",#REF!, (#REF!* -1))</f>
        <v>#REF!</v>
      </c>
    </row>
    <row r="644" spans="2:2" x14ac:dyDescent="0.2">
      <c r="B644" s="41" t="e">
        <f>IF(#REF!="credit",#REF!, (#REF!* -1))</f>
        <v>#REF!</v>
      </c>
    </row>
    <row r="645" spans="2:2" x14ac:dyDescent="0.2">
      <c r="B645" s="41" t="e">
        <f>IF(#REF!="credit",#REF!, (#REF!* -1))</f>
        <v>#REF!</v>
      </c>
    </row>
    <row r="646" spans="2:2" x14ac:dyDescent="0.2">
      <c r="B646" s="41" t="e">
        <f>IF(#REF!="credit",#REF!, (#REF!* -1))</f>
        <v>#REF!</v>
      </c>
    </row>
    <row r="647" spans="2:2" x14ac:dyDescent="0.2">
      <c r="B647" s="41" t="e">
        <f>IF(#REF!="credit",#REF!, (#REF!* -1))</f>
        <v>#REF!</v>
      </c>
    </row>
    <row r="648" spans="2:2" x14ac:dyDescent="0.2">
      <c r="B648" s="41" t="e">
        <f>IF(#REF!="credit",#REF!, (#REF!* -1))</f>
        <v>#REF!</v>
      </c>
    </row>
    <row r="649" spans="2:2" x14ac:dyDescent="0.2">
      <c r="B649" s="41" t="e">
        <f>IF(#REF!="credit",#REF!, (#REF!* -1))</f>
        <v>#REF!</v>
      </c>
    </row>
    <row r="650" spans="2:2" x14ac:dyDescent="0.2">
      <c r="B650" s="41" t="e">
        <f>IF(#REF!="credit",#REF!, (#REF!* -1))</f>
        <v>#REF!</v>
      </c>
    </row>
    <row r="651" spans="2:2" x14ac:dyDescent="0.2">
      <c r="B651" s="41" t="e">
        <f>IF(#REF!="credit",#REF!, (#REF!* -1))</f>
        <v>#REF!</v>
      </c>
    </row>
    <row r="652" spans="2:2" x14ac:dyDescent="0.2">
      <c r="B652" s="41" t="e">
        <f>IF(#REF!="credit",#REF!, (#REF!* -1))</f>
        <v>#REF!</v>
      </c>
    </row>
    <row r="653" spans="2:2" x14ac:dyDescent="0.2">
      <c r="B653" s="41" t="e">
        <f>IF(#REF!="credit",#REF!, (#REF!* -1))</f>
        <v>#REF!</v>
      </c>
    </row>
    <row r="654" spans="2:2" x14ac:dyDescent="0.2">
      <c r="B654" s="41" t="e">
        <f>IF(#REF!="credit",#REF!, (#REF!* -1))</f>
        <v>#REF!</v>
      </c>
    </row>
    <row r="655" spans="2:2" x14ac:dyDescent="0.2">
      <c r="B655" s="41" t="e">
        <f>IF(#REF!="credit",#REF!, (#REF!* -1))</f>
        <v>#REF!</v>
      </c>
    </row>
    <row r="656" spans="2:2" x14ac:dyDescent="0.2">
      <c r="B656" s="41" t="e">
        <f>IF(#REF!="credit",#REF!, (#REF!* -1))</f>
        <v>#REF!</v>
      </c>
    </row>
    <row r="657" spans="2:2" x14ac:dyDescent="0.2">
      <c r="B657" s="41" t="e">
        <f>IF(#REF!="credit",#REF!, (#REF!* -1))</f>
        <v>#REF!</v>
      </c>
    </row>
    <row r="658" spans="2:2" x14ac:dyDescent="0.2">
      <c r="B658" s="41" t="e">
        <f>IF(#REF!="credit",#REF!, (#REF!* -1))</f>
        <v>#REF!</v>
      </c>
    </row>
    <row r="659" spans="2:2" x14ac:dyDescent="0.2">
      <c r="B659" s="41" t="e">
        <f>IF(#REF!="credit",#REF!, (#REF!* -1))</f>
        <v>#REF!</v>
      </c>
    </row>
    <row r="660" spans="2:2" x14ac:dyDescent="0.2">
      <c r="B660" s="41" t="e">
        <f>IF(#REF!="credit",#REF!, (#REF!* -1))</f>
        <v>#REF!</v>
      </c>
    </row>
    <row r="661" spans="2:2" x14ac:dyDescent="0.2">
      <c r="B661" s="41" t="e">
        <f>IF(#REF!="credit",#REF!, (#REF!* -1))</f>
        <v>#REF!</v>
      </c>
    </row>
    <row r="662" spans="2:2" x14ac:dyDescent="0.2">
      <c r="B662" s="41" t="e">
        <f>IF(#REF!="credit",#REF!, (#REF!* -1))</f>
        <v>#REF!</v>
      </c>
    </row>
    <row r="663" spans="2:2" x14ac:dyDescent="0.2">
      <c r="B663" s="41" t="e">
        <f>IF(#REF!="credit",#REF!, (#REF!* -1))</f>
        <v>#REF!</v>
      </c>
    </row>
    <row r="664" spans="2:2" x14ac:dyDescent="0.2">
      <c r="B664" s="41" t="e">
        <f>IF(#REF!="credit",#REF!, (#REF!* -1))</f>
        <v>#REF!</v>
      </c>
    </row>
    <row r="665" spans="2:2" x14ac:dyDescent="0.2">
      <c r="B665" s="41" t="e">
        <f>IF(#REF!="credit",#REF!, (#REF!* -1))</f>
        <v>#REF!</v>
      </c>
    </row>
    <row r="666" spans="2:2" x14ac:dyDescent="0.2">
      <c r="B666" s="41" t="e">
        <f>IF(#REF!="credit",#REF!, (#REF!* -1))</f>
        <v>#REF!</v>
      </c>
    </row>
    <row r="667" spans="2:2" x14ac:dyDescent="0.2">
      <c r="B667" s="41" t="e">
        <f>IF(#REF!="credit",#REF!, (#REF!* -1))</f>
        <v>#REF!</v>
      </c>
    </row>
    <row r="668" spans="2:2" x14ac:dyDescent="0.2">
      <c r="B668" s="41" t="e">
        <f>IF(#REF!="credit",#REF!, (#REF!* -1))</f>
        <v>#REF!</v>
      </c>
    </row>
    <row r="669" spans="2:2" x14ac:dyDescent="0.2">
      <c r="B669" s="41" t="e">
        <f>IF(#REF!="credit",#REF!, (#REF!* -1))</f>
        <v>#REF!</v>
      </c>
    </row>
    <row r="670" spans="2:2" x14ac:dyDescent="0.2">
      <c r="B670" s="41" t="e">
        <f>IF(#REF!="credit",#REF!, (#REF!* -1))</f>
        <v>#REF!</v>
      </c>
    </row>
    <row r="671" spans="2:2" x14ac:dyDescent="0.2">
      <c r="B671" s="41" t="e">
        <f>IF(#REF!="credit",#REF!, (#REF!* -1))</f>
        <v>#REF!</v>
      </c>
    </row>
    <row r="672" spans="2:2" x14ac:dyDescent="0.2">
      <c r="B672" s="41" t="e">
        <f>IF(#REF!="credit",#REF!, (#REF!* -1))</f>
        <v>#REF!</v>
      </c>
    </row>
    <row r="673" spans="2:2" x14ac:dyDescent="0.2">
      <c r="B673" s="41" t="e">
        <f>IF(#REF!="credit",#REF!, (#REF!* -1))</f>
        <v>#REF!</v>
      </c>
    </row>
    <row r="674" spans="2:2" x14ac:dyDescent="0.2">
      <c r="B674" s="41" t="e">
        <f>IF(#REF!="credit",#REF!, (#REF!* -1))</f>
        <v>#REF!</v>
      </c>
    </row>
    <row r="675" spans="2:2" x14ac:dyDescent="0.2">
      <c r="B675" s="41" t="e">
        <f>IF(#REF!="credit",#REF!, (#REF!* -1))</f>
        <v>#REF!</v>
      </c>
    </row>
    <row r="676" spans="2:2" x14ac:dyDescent="0.2">
      <c r="B676" s="41" t="e">
        <f>IF(#REF!="credit",#REF!, (#REF!* -1))</f>
        <v>#REF!</v>
      </c>
    </row>
    <row r="677" spans="2:2" x14ac:dyDescent="0.2">
      <c r="B677" s="41" t="e">
        <f>IF(#REF!="credit",#REF!, (#REF!* -1))</f>
        <v>#REF!</v>
      </c>
    </row>
    <row r="678" spans="2:2" x14ac:dyDescent="0.2">
      <c r="B678" s="41" t="e">
        <f>IF(#REF!="credit",#REF!, (#REF!* -1))</f>
        <v>#REF!</v>
      </c>
    </row>
    <row r="679" spans="2:2" x14ac:dyDescent="0.2">
      <c r="B679" s="41" t="e">
        <f>IF(#REF!="credit",#REF!, (#REF!* -1))</f>
        <v>#REF!</v>
      </c>
    </row>
    <row r="680" spans="2:2" x14ac:dyDescent="0.2">
      <c r="B680" s="41" t="e">
        <f>IF(#REF!="credit",#REF!, (#REF!* -1))</f>
        <v>#REF!</v>
      </c>
    </row>
    <row r="681" spans="2:2" x14ac:dyDescent="0.2">
      <c r="B681" s="41" t="e">
        <f>IF(#REF!="credit",#REF!, (#REF!* -1))</f>
        <v>#REF!</v>
      </c>
    </row>
    <row r="682" spans="2:2" x14ac:dyDescent="0.2">
      <c r="B682" s="41" t="e">
        <f>IF(#REF!="credit",#REF!, (#REF!* -1))</f>
        <v>#REF!</v>
      </c>
    </row>
    <row r="683" spans="2:2" x14ac:dyDescent="0.2">
      <c r="B683" s="41" t="e">
        <f>IF(#REF!="credit",#REF!, (#REF!* -1))</f>
        <v>#REF!</v>
      </c>
    </row>
    <row r="684" spans="2:2" x14ac:dyDescent="0.2">
      <c r="B684" s="41" t="e">
        <f>IF(#REF!="credit",#REF!, (#REF!* -1))</f>
        <v>#REF!</v>
      </c>
    </row>
    <row r="685" spans="2:2" x14ac:dyDescent="0.2">
      <c r="B685" s="41" t="e">
        <f>IF(#REF!="credit",#REF!, (#REF!* -1))</f>
        <v>#REF!</v>
      </c>
    </row>
    <row r="686" spans="2:2" x14ac:dyDescent="0.2">
      <c r="B686" s="41" t="e">
        <f>IF(#REF!="credit",#REF!, (#REF!* -1))</f>
        <v>#REF!</v>
      </c>
    </row>
    <row r="687" spans="2:2" x14ac:dyDescent="0.2">
      <c r="B687" s="41" t="e">
        <f>IF(#REF!="credit",#REF!, (#REF!* -1))</f>
        <v>#REF!</v>
      </c>
    </row>
    <row r="688" spans="2:2" x14ac:dyDescent="0.2">
      <c r="B688" s="41" t="e">
        <f>IF(#REF!="credit",#REF!, (#REF!* -1))</f>
        <v>#REF!</v>
      </c>
    </row>
    <row r="689" spans="2:2" x14ac:dyDescent="0.2">
      <c r="B689" s="41" t="e">
        <f>IF(#REF!="credit",#REF!, (#REF!* -1))</f>
        <v>#REF!</v>
      </c>
    </row>
    <row r="690" spans="2:2" x14ac:dyDescent="0.2">
      <c r="B690" s="41" t="e">
        <f>IF(#REF!="credit",#REF!, (#REF!* -1))</f>
        <v>#REF!</v>
      </c>
    </row>
    <row r="691" spans="2:2" x14ac:dyDescent="0.2">
      <c r="B691" s="41" t="e">
        <f>IF(#REF!="credit",#REF!, (#REF!* -1))</f>
        <v>#REF!</v>
      </c>
    </row>
    <row r="692" spans="2:2" x14ac:dyDescent="0.2">
      <c r="B692" s="41" t="e">
        <f>IF(#REF!="credit",#REF!, (#REF!* -1))</f>
        <v>#REF!</v>
      </c>
    </row>
    <row r="693" spans="2:2" x14ac:dyDescent="0.2">
      <c r="B693" s="41" t="e">
        <f>IF(#REF!="credit",#REF!, (#REF!* -1))</f>
        <v>#REF!</v>
      </c>
    </row>
    <row r="694" spans="2:2" x14ac:dyDescent="0.2">
      <c r="B694" s="41" t="e">
        <f>IF(#REF!="credit",#REF!, (#REF!* -1))</f>
        <v>#REF!</v>
      </c>
    </row>
    <row r="695" spans="2:2" x14ac:dyDescent="0.2">
      <c r="B695" s="41" t="e">
        <f>IF(#REF!="credit",#REF!, (#REF!* -1))</f>
        <v>#REF!</v>
      </c>
    </row>
    <row r="696" spans="2:2" x14ac:dyDescent="0.2">
      <c r="B696" s="41" t="e">
        <f>IF(#REF!="credit",#REF!, (#REF!* -1))</f>
        <v>#REF!</v>
      </c>
    </row>
    <row r="697" spans="2:2" x14ac:dyDescent="0.2">
      <c r="B697" s="41" t="e">
        <f>IF(#REF!="credit",#REF!, (#REF!* -1))</f>
        <v>#REF!</v>
      </c>
    </row>
    <row r="698" spans="2:2" x14ac:dyDescent="0.2">
      <c r="B698" s="41" t="e">
        <f>IF(#REF!="credit",#REF!, (#REF!* -1))</f>
        <v>#REF!</v>
      </c>
    </row>
    <row r="699" spans="2:2" x14ac:dyDescent="0.2">
      <c r="B699" s="41" t="e">
        <f>IF(#REF!="credit",#REF!, (#REF!* -1))</f>
        <v>#REF!</v>
      </c>
    </row>
    <row r="700" spans="2:2" x14ac:dyDescent="0.2">
      <c r="B700" s="41" t="e">
        <f>IF(#REF!="credit",#REF!, (#REF!* -1))</f>
        <v>#REF!</v>
      </c>
    </row>
    <row r="701" spans="2:2" x14ac:dyDescent="0.2">
      <c r="B701" s="41" t="e">
        <f>IF(#REF!="credit",#REF!, (#REF!* -1))</f>
        <v>#REF!</v>
      </c>
    </row>
    <row r="702" spans="2:2" x14ac:dyDescent="0.2">
      <c r="B702" s="41" t="e">
        <f>IF(#REF!="credit",#REF!, (#REF!* -1))</f>
        <v>#REF!</v>
      </c>
    </row>
    <row r="703" spans="2:2" x14ac:dyDescent="0.2">
      <c r="B703" s="41" t="e">
        <f>IF(#REF!="credit",#REF!, (#REF!* -1))</f>
        <v>#REF!</v>
      </c>
    </row>
    <row r="704" spans="2:2" x14ac:dyDescent="0.2">
      <c r="B704" s="41" t="e">
        <f>IF(#REF!="credit",#REF!, (#REF!* -1))</f>
        <v>#REF!</v>
      </c>
    </row>
    <row r="705" spans="2:2" x14ac:dyDescent="0.2">
      <c r="B705" s="41" t="e">
        <f>IF(#REF!="credit",#REF!, (#REF!* -1))</f>
        <v>#REF!</v>
      </c>
    </row>
    <row r="706" spans="2:2" x14ac:dyDescent="0.2">
      <c r="B706" s="41" t="e">
        <f>IF(#REF!="credit",#REF!, (#REF!* -1))</f>
        <v>#REF!</v>
      </c>
    </row>
    <row r="707" spans="2:2" x14ac:dyDescent="0.2">
      <c r="B707" s="41" t="e">
        <f>IF(#REF!="credit",#REF!, (#REF!* -1))</f>
        <v>#REF!</v>
      </c>
    </row>
    <row r="708" spans="2:2" x14ac:dyDescent="0.2">
      <c r="B708" s="41" t="e">
        <f>IF(#REF!="credit",#REF!, (#REF!* -1))</f>
        <v>#REF!</v>
      </c>
    </row>
    <row r="709" spans="2:2" x14ac:dyDescent="0.2">
      <c r="B709" s="41" t="e">
        <f>IF(#REF!="credit",#REF!, (#REF!* -1))</f>
        <v>#REF!</v>
      </c>
    </row>
    <row r="710" spans="2:2" x14ac:dyDescent="0.2">
      <c r="B710" s="41" t="e">
        <f>IF(#REF!="credit",#REF!, (#REF!* -1))</f>
        <v>#REF!</v>
      </c>
    </row>
    <row r="711" spans="2:2" x14ac:dyDescent="0.2">
      <c r="B711" s="41" t="e">
        <f>IF(#REF!="credit",#REF!, (#REF!* -1))</f>
        <v>#REF!</v>
      </c>
    </row>
    <row r="712" spans="2:2" x14ac:dyDescent="0.2">
      <c r="B712" s="41" t="e">
        <f>IF(#REF!="credit",#REF!, (#REF!* -1))</f>
        <v>#REF!</v>
      </c>
    </row>
    <row r="713" spans="2:2" x14ac:dyDescent="0.2">
      <c r="B713" s="41" t="e">
        <f>IF(#REF!="credit",#REF!, (#REF!* -1))</f>
        <v>#REF!</v>
      </c>
    </row>
    <row r="714" spans="2:2" x14ac:dyDescent="0.2">
      <c r="B714" s="41" t="e">
        <f>IF(#REF!="credit",#REF!, (#REF!* -1))</f>
        <v>#REF!</v>
      </c>
    </row>
    <row r="715" spans="2:2" x14ac:dyDescent="0.2">
      <c r="B715" s="41" t="e">
        <f>IF(#REF!="credit",#REF!, (#REF!* -1))</f>
        <v>#REF!</v>
      </c>
    </row>
    <row r="716" spans="2:2" x14ac:dyDescent="0.2">
      <c r="B716" s="41" t="e">
        <f>IF(#REF!="credit",#REF!, (#REF!* -1))</f>
        <v>#REF!</v>
      </c>
    </row>
    <row r="717" spans="2:2" x14ac:dyDescent="0.2">
      <c r="B717" s="41" t="e">
        <f>IF(#REF!="credit",#REF!, (#REF!* -1))</f>
        <v>#REF!</v>
      </c>
    </row>
    <row r="718" spans="2:2" x14ac:dyDescent="0.2">
      <c r="B718" s="41" t="e">
        <f>IF(#REF!="credit",#REF!, (#REF!* -1))</f>
        <v>#REF!</v>
      </c>
    </row>
    <row r="719" spans="2:2" x14ac:dyDescent="0.2">
      <c r="B719" s="41" t="e">
        <f>IF(#REF!="credit",#REF!, (#REF!* -1))</f>
        <v>#REF!</v>
      </c>
    </row>
    <row r="720" spans="2:2" x14ac:dyDescent="0.2">
      <c r="B720" s="41" t="e">
        <f>IF(#REF!="credit",#REF!, (#REF!* -1))</f>
        <v>#REF!</v>
      </c>
    </row>
    <row r="721" spans="2:2" x14ac:dyDescent="0.2">
      <c r="B721" s="41" t="e">
        <f>IF(#REF!="credit",#REF!, (#REF!* -1))</f>
        <v>#REF!</v>
      </c>
    </row>
    <row r="722" spans="2:2" x14ac:dyDescent="0.2">
      <c r="B722" s="41" t="e">
        <f>IF(#REF!="credit",#REF!, (#REF!* -1))</f>
        <v>#REF!</v>
      </c>
    </row>
    <row r="723" spans="2:2" x14ac:dyDescent="0.2">
      <c r="B723" s="41" t="e">
        <f>IF(#REF!="credit",#REF!, (#REF!* -1))</f>
        <v>#REF!</v>
      </c>
    </row>
    <row r="724" spans="2:2" x14ac:dyDescent="0.2">
      <c r="B724" s="41" t="e">
        <f>IF(#REF!="credit",#REF!, (#REF!* -1))</f>
        <v>#REF!</v>
      </c>
    </row>
    <row r="725" spans="2:2" x14ac:dyDescent="0.2">
      <c r="B725" s="41" t="e">
        <f>IF(#REF!="credit",#REF!, (#REF!* -1))</f>
        <v>#REF!</v>
      </c>
    </row>
    <row r="726" spans="2:2" x14ac:dyDescent="0.2">
      <c r="B726" s="41" t="e">
        <f>IF(#REF!="credit",#REF!, (#REF!* -1))</f>
        <v>#REF!</v>
      </c>
    </row>
    <row r="727" spans="2:2" x14ac:dyDescent="0.2">
      <c r="B727" s="41" t="e">
        <f>IF(#REF!="credit",#REF!, (#REF!* -1))</f>
        <v>#REF!</v>
      </c>
    </row>
    <row r="728" spans="2:2" x14ac:dyDescent="0.2">
      <c r="B728" s="41" t="e">
        <f>IF(#REF!="credit",#REF!, (#REF!* -1))</f>
        <v>#REF!</v>
      </c>
    </row>
    <row r="729" spans="2:2" x14ac:dyDescent="0.2">
      <c r="B729" s="41" t="e">
        <f>IF(#REF!="credit",#REF!, (#REF!* -1))</f>
        <v>#REF!</v>
      </c>
    </row>
    <row r="730" spans="2:2" x14ac:dyDescent="0.2">
      <c r="B730" s="41" t="e">
        <f>IF(#REF!="credit",#REF!, (#REF!* -1))</f>
        <v>#REF!</v>
      </c>
    </row>
    <row r="731" spans="2:2" x14ac:dyDescent="0.2">
      <c r="B731" s="41" t="e">
        <f>IF(#REF!="credit",#REF!, (#REF!* -1))</f>
        <v>#REF!</v>
      </c>
    </row>
    <row r="732" spans="2:2" x14ac:dyDescent="0.2">
      <c r="B732" s="41" t="e">
        <f>IF(#REF!="credit",#REF!, (#REF!* -1))</f>
        <v>#REF!</v>
      </c>
    </row>
    <row r="733" spans="2:2" x14ac:dyDescent="0.2">
      <c r="B733" s="41" t="e">
        <f>IF(#REF!="credit",#REF!, (#REF!* -1))</f>
        <v>#REF!</v>
      </c>
    </row>
    <row r="734" spans="2:2" x14ac:dyDescent="0.2">
      <c r="B734" s="41" t="e">
        <f>IF(#REF!="credit",#REF!, (#REF!* -1))</f>
        <v>#REF!</v>
      </c>
    </row>
    <row r="735" spans="2:2" x14ac:dyDescent="0.2">
      <c r="B735" s="41" t="e">
        <f>IF(#REF!="credit",#REF!, (#REF!* -1))</f>
        <v>#REF!</v>
      </c>
    </row>
    <row r="736" spans="2:2" x14ac:dyDescent="0.2">
      <c r="B736" s="41" t="e">
        <f>IF(#REF!="credit",#REF!, (#REF!* -1))</f>
        <v>#REF!</v>
      </c>
    </row>
    <row r="737" spans="2:2" x14ac:dyDescent="0.2">
      <c r="B737" s="41" t="e">
        <f>IF(#REF!="credit",#REF!, (#REF!* -1))</f>
        <v>#REF!</v>
      </c>
    </row>
    <row r="738" spans="2:2" x14ac:dyDescent="0.2">
      <c r="B738" s="41" t="e">
        <f>IF(#REF!="credit",#REF!, (#REF!* -1))</f>
        <v>#REF!</v>
      </c>
    </row>
    <row r="739" spans="2:2" x14ac:dyDescent="0.2">
      <c r="B739" s="41" t="e">
        <f>IF(#REF!="credit",#REF!, (#REF!* -1))</f>
        <v>#REF!</v>
      </c>
    </row>
    <row r="740" spans="2:2" x14ac:dyDescent="0.2">
      <c r="B740" s="41" t="e">
        <f>IF(#REF!="credit",#REF!, (#REF!* -1))</f>
        <v>#REF!</v>
      </c>
    </row>
    <row r="741" spans="2:2" x14ac:dyDescent="0.2">
      <c r="B741" s="41" t="e">
        <f>IF(#REF!="credit",#REF!, (#REF!* -1))</f>
        <v>#REF!</v>
      </c>
    </row>
    <row r="742" spans="2:2" x14ac:dyDescent="0.2">
      <c r="B742" s="41" t="e">
        <f>IF(#REF!="credit",#REF!, (#REF!* -1))</f>
        <v>#REF!</v>
      </c>
    </row>
    <row r="743" spans="2:2" x14ac:dyDescent="0.2">
      <c r="B743" s="41" t="e">
        <f>IF(#REF!="credit",#REF!, (#REF!* -1))</f>
        <v>#REF!</v>
      </c>
    </row>
    <row r="744" spans="2:2" x14ac:dyDescent="0.2">
      <c r="B744" s="41" t="e">
        <f>IF(#REF!="credit",#REF!, (#REF!* -1))</f>
        <v>#REF!</v>
      </c>
    </row>
    <row r="745" spans="2:2" x14ac:dyDescent="0.2">
      <c r="B745" s="41" t="e">
        <f>IF(#REF!="credit",#REF!, (#REF!* -1))</f>
        <v>#REF!</v>
      </c>
    </row>
    <row r="746" spans="2:2" x14ac:dyDescent="0.2">
      <c r="B746" s="41" t="e">
        <f>IF(#REF!="credit",#REF!, (#REF!* -1))</f>
        <v>#REF!</v>
      </c>
    </row>
    <row r="747" spans="2:2" x14ac:dyDescent="0.2">
      <c r="B747" s="41" t="e">
        <f>IF(#REF!="credit",#REF!, (#REF!* -1))</f>
        <v>#REF!</v>
      </c>
    </row>
    <row r="748" spans="2:2" x14ac:dyDescent="0.2">
      <c r="B748" s="41" t="e">
        <f>IF(#REF!="credit",#REF!, (#REF!* -1))</f>
        <v>#REF!</v>
      </c>
    </row>
    <row r="749" spans="2:2" x14ac:dyDescent="0.2">
      <c r="B749" s="41" t="e">
        <f>IF(#REF!="credit",#REF!, (#REF!* -1))</f>
        <v>#REF!</v>
      </c>
    </row>
    <row r="750" spans="2:2" x14ac:dyDescent="0.2">
      <c r="B750" s="41" t="e">
        <f>IF(#REF!="credit",#REF!, (#REF!* -1))</f>
        <v>#REF!</v>
      </c>
    </row>
    <row r="751" spans="2:2" x14ac:dyDescent="0.2">
      <c r="B751" s="41" t="e">
        <f>IF(#REF!="credit",#REF!, (#REF!* -1))</f>
        <v>#REF!</v>
      </c>
    </row>
    <row r="752" spans="2:2" x14ac:dyDescent="0.2">
      <c r="B752" s="41" t="e">
        <f>IF(#REF!="credit",#REF!, (#REF!* -1))</f>
        <v>#REF!</v>
      </c>
    </row>
    <row r="753" spans="2:2" x14ac:dyDescent="0.2">
      <c r="B753" s="41" t="e">
        <f>IF(#REF!="credit",#REF!, (#REF!* -1))</f>
        <v>#REF!</v>
      </c>
    </row>
    <row r="754" spans="2:2" x14ac:dyDescent="0.2">
      <c r="B754" s="41" t="e">
        <f>IF(#REF!="credit",#REF!, (#REF!* -1))</f>
        <v>#REF!</v>
      </c>
    </row>
    <row r="755" spans="2:2" x14ac:dyDescent="0.2">
      <c r="B755" s="41" t="e">
        <f>IF(#REF!="credit",#REF!, (#REF!* -1))</f>
        <v>#REF!</v>
      </c>
    </row>
    <row r="756" spans="2:2" x14ac:dyDescent="0.2">
      <c r="B756" s="41" t="e">
        <f>IF(#REF!="credit",#REF!, (#REF!* -1))</f>
        <v>#REF!</v>
      </c>
    </row>
    <row r="757" spans="2:2" x14ac:dyDescent="0.2">
      <c r="B757" s="41" t="e">
        <f>IF(#REF!="credit",#REF!, (#REF!* -1))</f>
        <v>#REF!</v>
      </c>
    </row>
    <row r="758" spans="2:2" x14ac:dyDescent="0.2">
      <c r="B758" s="41" t="e">
        <f>IF(#REF!="credit",#REF!, (#REF!* -1))</f>
        <v>#REF!</v>
      </c>
    </row>
    <row r="759" spans="2:2" x14ac:dyDescent="0.2">
      <c r="B759" s="41" t="e">
        <f>IF(#REF!="credit",#REF!, (#REF!* -1))</f>
        <v>#REF!</v>
      </c>
    </row>
    <row r="760" spans="2:2" x14ac:dyDescent="0.2">
      <c r="B760" s="41" t="e">
        <f>IF(#REF!="credit",#REF!, (#REF!* -1))</f>
        <v>#REF!</v>
      </c>
    </row>
    <row r="761" spans="2:2" x14ac:dyDescent="0.2">
      <c r="B761" s="41" t="e">
        <f>IF(#REF!="credit",#REF!, (#REF!* -1))</f>
        <v>#REF!</v>
      </c>
    </row>
    <row r="762" spans="2:2" x14ac:dyDescent="0.2">
      <c r="B762" s="41" t="e">
        <f>IF(#REF!="credit",#REF!, (#REF!* -1))</f>
        <v>#REF!</v>
      </c>
    </row>
    <row r="763" spans="2:2" x14ac:dyDescent="0.2">
      <c r="B763" s="41" t="e">
        <f>IF(#REF!="credit",#REF!, (#REF!* -1))</f>
        <v>#REF!</v>
      </c>
    </row>
    <row r="764" spans="2:2" x14ac:dyDescent="0.2">
      <c r="B764" s="41" t="e">
        <f>IF(#REF!="credit",#REF!, (#REF!* -1))</f>
        <v>#REF!</v>
      </c>
    </row>
    <row r="765" spans="2:2" x14ac:dyDescent="0.2">
      <c r="B765" s="41" t="e">
        <f>IF(#REF!="credit",#REF!, (#REF!* -1))</f>
        <v>#REF!</v>
      </c>
    </row>
    <row r="766" spans="2:2" x14ac:dyDescent="0.2">
      <c r="B766" s="41" t="e">
        <f>IF(#REF!="credit",#REF!, (#REF!* -1))</f>
        <v>#REF!</v>
      </c>
    </row>
    <row r="767" spans="2:2" x14ac:dyDescent="0.2">
      <c r="B767" s="41" t="e">
        <f>IF(#REF!="credit",#REF!, (#REF!* -1))</f>
        <v>#REF!</v>
      </c>
    </row>
    <row r="768" spans="2:2" x14ac:dyDescent="0.2">
      <c r="B768" s="41" t="e">
        <f>IF(#REF!="credit",#REF!, (#REF!* -1))</f>
        <v>#REF!</v>
      </c>
    </row>
    <row r="769" spans="2:2" x14ac:dyDescent="0.2">
      <c r="B769" s="41" t="e">
        <f>IF(#REF!="credit",#REF!, (#REF!* -1))</f>
        <v>#REF!</v>
      </c>
    </row>
    <row r="770" spans="2:2" x14ac:dyDescent="0.2">
      <c r="B770" s="41" t="e">
        <f>IF(#REF!="credit",#REF!, (#REF!* -1))</f>
        <v>#REF!</v>
      </c>
    </row>
    <row r="771" spans="2:2" x14ac:dyDescent="0.2">
      <c r="B771" s="41" t="e">
        <f>IF(#REF!="credit",#REF!, (#REF!* -1))</f>
        <v>#REF!</v>
      </c>
    </row>
    <row r="772" spans="2:2" x14ac:dyDescent="0.2">
      <c r="B772" s="41" t="e">
        <f>IF(#REF!="credit",#REF!, (#REF!* -1))</f>
        <v>#REF!</v>
      </c>
    </row>
    <row r="773" spans="2:2" x14ac:dyDescent="0.2">
      <c r="B773" s="41" t="e">
        <f>IF(#REF!="credit",#REF!, (#REF!* -1))</f>
        <v>#REF!</v>
      </c>
    </row>
    <row r="774" spans="2:2" x14ac:dyDescent="0.2">
      <c r="B774" s="41" t="e">
        <f>IF(#REF!="credit",#REF!, (#REF!* -1))</f>
        <v>#REF!</v>
      </c>
    </row>
    <row r="775" spans="2:2" x14ac:dyDescent="0.2">
      <c r="B775" s="41" t="e">
        <f>IF(#REF!="credit",#REF!, (#REF!* -1))</f>
        <v>#REF!</v>
      </c>
    </row>
    <row r="776" spans="2:2" x14ac:dyDescent="0.2">
      <c r="B776" s="41" t="e">
        <f>IF(#REF!="credit",#REF!, (#REF!* -1))</f>
        <v>#REF!</v>
      </c>
    </row>
    <row r="777" spans="2:2" x14ac:dyDescent="0.2">
      <c r="B777" s="41" t="e">
        <f>IF(#REF!="credit",#REF!, (#REF!* -1))</f>
        <v>#REF!</v>
      </c>
    </row>
    <row r="778" spans="2:2" x14ac:dyDescent="0.2">
      <c r="B778" s="41" t="e">
        <f>IF(#REF!="credit",#REF!, (#REF!* -1))</f>
        <v>#REF!</v>
      </c>
    </row>
    <row r="779" spans="2:2" x14ac:dyDescent="0.2">
      <c r="B779" s="41" t="e">
        <f>IF(#REF!="credit",#REF!, (#REF!* -1))</f>
        <v>#REF!</v>
      </c>
    </row>
    <row r="780" spans="2:2" x14ac:dyDescent="0.2">
      <c r="B780" s="41" t="e">
        <f>IF(#REF!="credit",#REF!, (#REF!* -1))</f>
        <v>#REF!</v>
      </c>
    </row>
    <row r="781" spans="2:2" x14ac:dyDescent="0.2">
      <c r="B781" s="41" t="e">
        <f>IF(#REF!="credit",#REF!, (#REF!* -1))</f>
        <v>#REF!</v>
      </c>
    </row>
    <row r="782" spans="2:2" x14ac:dyDescent="0.2">
      <c r="B782" s="41" t="e">
        <f>IF(#REF!="credit",#REF!, (#REF!* -1))</f>
        <v>#REF!</v>
      </c>
    </row>
    <row r="783" spans="2:2" x14ac:dyDescent="0.2">
      <c r="B783" s="41" t="e">
        <f>IF(#REF!="credit",#REF!, (#REF!* -1))</f>
        <v>#REF!</v>
      </c>
    </row>
    <row r="784" spans="2:2" x14ac:dyDescent="0.2">
      <c r="B784" s="41" t="e">
        <f>IF(#REF!="credit",#REF!, (#REF!* -1))</f>
        <v>#REF!</v>
      </c>
    </row>
    <row r="785" spans="2:2" x14ac:dyDescent="0.2">
      <c r="B785" s="41" t="e">
        <f>IF(#REF!="credit",#REF!, (#REF!* -1))</f>
        <v>#REF!</v>
      </c>
    </row>
    <row r="786" spans="2:2" x14ac:dyDescent="0.2">
      <c r="B786" s="41" t="e">
        <f>IF(#REF!="credit",#REF!, (#REF!* -1))</f>
        <v>#REF!</v>
      </c>
    </row>
    <row r="787" spans="2:2" x14ac:dyDescent="0.2">
      <c r="B787" s="41" t="e">
        <f>IF(#REF!="credit",#REF!, (#REF!* -1))</f>
        <v>#REF!</v>
      </c>
    </row>
    <row r="788" spans="2:2" x14ac:dyDescent="0.2">
      <c r="B788" s="41" t="e">
        <f>IF(#REF!="credit",#REF!, (#REF!* -1))</f>
        <v>#REF!</v>
      </c>
    </row>
    <row r="789" spans="2:2" x14ac:dyDescent="0.2">
      <c r="B789" s="41" t="e">
        <f>IF(#REF!="credit",#REF!, (#REF!* -1))</f>
        <v>#REF!</v>
      </c>
    </row>
    <row r="790" spans="2:2" x14ac:dyDescent="0.2">
      <c r="B790" s="41" t="e">
        <f>IF(#REF!="credit",#REF!, (#REF!* -1))</f>
        <v>#REF!</v>
      </c>
    </row>
    <row r="791" spans="2:2" x14ac:dyDescent="0.2">
      <c r="B791" s="41" t="e">
        <f>IF(#REF!="credit",#REF!, (#REF!* -1))</f>
        <v>#REF!</v>
      </c>
    </row>
    <row r="792" spans="2:2" x14ac:dyDescent="0.2">
      <c r="B792" s="41" t="e">
        <f>IF(#REF!="credit",#REF!, (#REF!* -1))</f>
        <v>#REF!</v>
      </c>
    </row>
    <row r="793" spans="2:2" x14ac:dyDescent="0.2">
      <c r="B793" s="41" t="e">
        <f>IF(#REF!="credit",#REF!, (#REF!* -1))</f>
        <v>#REF!</v>
      </c>
    </row>
    <row r="794" spans="2:2" x14ac:dyDescent="0.2">
      <c r="B794" s="41" t="e">
        <f>IF(#REF!="credit",#REF!, (#REF!* -1))</f>
        <v>#REF!</v>
      </c>
    </row>
    <row r="795" spans="2:2" x14ac:dyDescent="0.2">
      <c r="B795" s="41" t="e">
        <f>IF(#REF!="credit",#REF!, (#REF!* -1))</f>
        <v>#REF!</v>
      </c>
    </row>
    <row r="796" spans="2:2" x14ac:dyDescent="0.2">
      <c r="B796" s="41" t="e">
        <f>IF(#REF!="credit",#REF!, (#REF!* -1))</f>
        <v>#REF!</v>
      </c>
    </row>
    <row r="797" spans="2:2" x14ac:dyDescent="0.2">
      <c r="B797" s="41" t="e">
        <f>IF(#REF!="credit",#REF!, (#REF!* -1))</f>
        <v>#REF!</v>
      </c>
    </row>
    <row r="798" spans="2:2" x14ac:dyDescent="0.2">
      <c r="B798" s="41" t="e">
        <f>IF(#REF!="credit",#REF!, (#REF!* -1))</f>
        <v>#REF!</v>
      </c>
    </row>
    <row r="799" spans="2:2" x14ac:dyDescent="0.2">
      <c r="B799" s="41" t="e">
        <f>IF(#REF!="credit",#REF!, (#REF!* -1))</f>
        <v>#REF!</v>
      </c>
    </row>
    <row r="800" spans="2:2" x14ac:dyDescent="0.2">
      <c r="B800" s="41" t="e">
        <f>IF(#REF!="credit",#REF!, (#REF!* -1))</f>
        <v>#REF!</v>
      </c>
    </row>
    <row r="801" spans="2:2" x14ac:dyDescent="0.2">
      <c r="B801" s="41" t="e">
        <f>IF(#REF!="credit",#REF!, (#REF!* -1))</f>
        <v>#REF!</v>
      </c>
    </row>
  </sheetData>
  <autoFilter ref="A1:G437" xr:uid="{00000000-0009-0000-0000-000001000000}">
    <sortState xmlns:xlrd2="http://schemas.microsoft.com/office/spreadsheetml/2017/richdata2" ref="A2:G801">
      <sortCondition ref="C1:C437"/>
    </sortState>
  </autoFilter>
  <conditionalFormatting sqref="B1 B4:B1048576">
    <cfRule type="cellIs" dxfId="122" priority="1" operator="lessThan">
      <formula>0</formula>
    </cfRule>
  </conditionalFormatting>
  <dataValidations count="1">
    <dataValidation type="list" allowBlank="1" showInputMessage="1" showErrorMessage="1" sqref="A554:A1048576" xr:uid="{13BAE438-2F75-4FB5-A469-C59C78D41E85}">
      <formula1>$A$7:$A$253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4983561-7385-4E0F-B12C-DBCB68A7C909}">
          <x14:formula1>
            <xm:f>Kostensoorts!$A$10:$A$297</xm:f>
          </x14:formula1>
          <xm:sqref>A1:A3</xm:sqref>
        </x14:dataValidation>
        <x14:dataValidation type="list" allowBlank="1" showInputMessage="1" showErrorMessage="1" xr:uid="{B3F3B1FD-A2B7-44D5-8103-81BDD7B4E938}">
          <x14:formula1>
            <xm:f>Kostensoorts!$A$3:$A$336</xm:f>
          </x14:formula1>
          <xm:sqref>A108 A59:A62 A105 A68:A78 A93:A100 A64 A66 A83:A85 A80 A7:A53 A90 A112:A553</xm:sqref>
        </x14:dataValidation>
        <x14:dataValidation type="list" allowBlank="1" showInputMessage="1" showErrorMessage="1" xr:uid="{03638115-4646-4B96-8A25-B1467DDF1338}">
          <x14:formula1>
            <xm:f>Kostensoorts!$A$3:$A$1069</xm:f>
          </x14:formula1>
          <xm:sqref>A4:A6 A106:A107 A109:A111 A101:A104 A91:A92 A65 A86:A89 A81:A82 A79 A67 A63 A54:A58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T798"/>
  <sheetViews>
    <sheetView zoomScaleNormal="69" zoomScalePageLayoutView="143" workbookViewId="0">
      <pane ySplit="1" topLeftCell="A2" activePane="bottomLeft" state="frozen"/>
      <selection pane="bottomLeft" activeCell="H3" sqref="H3:H471"/>
    </sheetView>
  </sheetViews>
  <sheetFormatPr baseColWidth="10" defaultColWidth="10.83203125" defaultRowHeight="15" x14ac:dyDescent="0.2"/>
  <cols>
    <col min="1" max="1" width="32.5" style="40" customWidth="1"/>
    <col min="2" max="2" width="14" customWidth="1"/>
    <col min="3" max="3" width="15" customWidth="1"/>
    <col min="4" max="4" width="5.33203125" customWidth="1"/>
    <col min="5" max="5" width="12.83203125" style="139" customWidth="1"/>
    <col min="6" max="6" width="30" customWidth="1"/>
    <col min="7" max="7" width="19.1640625" bestFit="1" customWidth="1"/>
    <col min="8" max="8" width="28.6640625" bestFit="1" customWidth="1"/>
    <col min="9" max="9" width="7.5" bestFit="1" customWidth="1"/>
    <col min="10" max="10" width="10.5" customWidth="1"/>
    <col min="11" max="11" width="11.6640625" style="36" bestFit="1" customWidth="1"/>
    <col min="12" max="12" width="16.1640625" bestFit="1" customWidth="1"/>
    <col min="13" max="13" width="247.5" hidden="1" customWidth="1"/>
    <col min="14" max="14" width="45.83203125" customWidth="1"/>
    <col min="15" max="15" width="68.33203125" customWidth="1"/>
  </cols>
  <sheetData>
    <row r="1" spans="1:15" x14ac:dyDescent="0.2">
      <c r="A1" s="295" t="s">
        <v>348</v>
      </c>
      <c r="B1" s="296" t="s">
        <v>349</v>
      </c>
      <c r="C1" s="297" t="s">
        <v>355</v>
      </c>
      <c r="D1" s="298"/>
      <c r="E1" s="299" t="s">
        <v>350</v>
      </c>
      <c r="F1" s="300" t="s">
        <v>351</v>
      </c>
      <c r="G1" s="296" t="s">
        <v>356</v>
      </c>
      <c r="H1" s="297" t="s">
        <v>357</v>
      </c>
      <c r="I1" s="298" t="s">
        <v>358</v>
      </c>
      <c r="J1" s="299" t="s">
        <v>359</v>
      </c>
      <c r="K1" s="301" t="s">
        <v>349</v>
      </c>
      <c r="L1" s="296" t="s">
        <v>360</v>
      </c>
      <c r="M1" s="294" t="s">
        <v>352</v>
      </c>
      <c r="N1" s="297" t="s">
        <v>361</v>
      </c>
      <c r="O1" s="298" t="s">
        <v>354</v>
      </c>
    </row>
    <row r="2" spans="1:15" ht="16" x14ac:dyDescent="0.2">
      <c r="A2" s="40" t="s">
        <v>85</v>
      </c>
      <c r="B2" s="41">
        <v>1606.29</v>
      </c>
      <c r="C2" s="509">
        <f>B2</f>
        <v>1606.29</v>
      </c>
      <c r="D2" s="37"/>
      <c r="E2" s="131"/>
      <c r="F2" s="132"/>
      <c r="G2" s="132"/>
      <c r="H2" s="132"/>
      <c r="I2" s="132"/>
      <c r="J2" s="132"/>
      <c r="K2" s="134"/>
      <c r="L2" s="132"/>
      <c r="M2" s="132"/>
    </row>
    <row r="3" spans="1:15" ht="16" x14ac:dyDescent="0.2">
      <c r="A3" s="40" t="s">
        <v>116</v>
      </c>
      <c r="B3" s="633">
        <f>K3</f>
        <v>-250</v>
      </c>
      <c r="C3" s="497">
        <f>C2+B3</f>
        <v>1356.29</v>
      </c>
      <c r="D3" s="37"/>
      <c r="E3" s="131">
        <v>20241012</v>
      </c>
      <c r="F3" s="132"/>
      <c r="G3" s="132" t="s">
        <v>362</v>
      </c>
      <c r="H3" s="132"/>
      <c r="I3" s="132" t="s">
        <v>363</v>
      </c>
      <c r="J3" s="132" t="s">
        <v>364</v>
      </c>
      <c r="K3" s="132">
        <v>-250</v>
      </c>
      <c r="L3" s="132" t="s">
        <v>365</v>
      </c>
      <c r="M3" s="132" t="s">
        <v>366</v>
      </c>
      <c r="N3" s="498" t="s">
        <v>367</v>
      </c>
    </row>
    <row r="4" spans="1:15" ht="16" x14ac:dyDescent="0.2">
      <c r="A4" s="40" t="s">
        <v>110</v>
      </c>
      <c r="B4" s="633">
        <f t="shared" ref="B4:B67" si="0">K4</f>
        <v>-25.41</v>
      </c>
      <c r="C4" s="497">
        <f t="shared" ref="C4:C38" si="1">C3+B4</f>
        <v>1330.8799999999999</v>
      </c>
      <c r="D4" s="37"/>
      <c r="E4" s="131">
        <v>20241015</v>
      </c>
      <c r="F4" s="498"/>
      <c r="G4" s="132" t="s">
        <v>362</v>
      </c>
      <c r="H4" s="132"/>
      <c r="I4" s="132" t="s">
        <v>368</v>
      </c>
      <c r="J4" s="132" t="s">
        <v>364</v>
      </c>
      <c r="K4" s="132">
        <v>-25.41</v>
      </c>
      <c r="L4" s="132" t="s">
        <v>369</v>
      </c>
      <c r="M4" s="132" t="s">
        <v>370</v>
      </c>
      <c r="N4" s="498"/>
    </row>
    <row r="5" spans="1:15" ht="16" x14ac:dyDescent="0.2">
      <c r="A5" s="40" t="s">
        <v>103</v>
      </c>
      <c r="B5" s="633">
        <f t="shared" si="0"/>
        <v>-30.25</v>
      </c>
      <c r="C5" s="497">
        <f t="shared" si="1"/>
        <v>1300.6299999999999</v>
      </c>
      <c r="D5" s="37"/>
      <c r="E5" s="131">
        <v>20241015</v>
      </c>
      <c r="F5" s="132"/>
      <c r="G5" s="132" t="s">
        <v>362</v>
      </c>
      <c r="H5" s="132"/>
      <c r="I5" s="132" t="s">
        <v>368</v>
      </c>
      <c r="J5" s="132" t="s">
        <v>364</v>
      </c>
      <c r="K5" s="132">
        <v>-30.25</v>
      </c>
      <c r="L5" s="132" t="s">
        <v>369</v>
      </c>
      <c r="M5" s="132" t="s">
        <v>371</v>
      </c>
      <c r="N5" s="498"/>
    </row>
    <row r="6" spans="1:15" ht="16" x14ac:dyDescent="0.2">
      <c r="A6" s="40" t="s">
        <v>80</v>
      </c>
      <c r="B6" s="633">
        <f t="shared" si="0"/>
        <v>260.47000000000003</v>
      </c>
      <c r="C6" s="497">
        <f t="shared" si="1"/>
        <v>1561.1</v>
      </c>
      <c r="D6" s="37"/>
      <c r="E6" s="131">
        <v>20241021</v>
      </c>
      <c r="F6" s="132"/>
      <c r="G6" s="132" t="s">
        <v>362</v>
      </c>
      <c r="H6" s="132"/>
      <c r="I6" s="132" t="s">
        <v>372</v>
      </c>
      <c r="J6" s="132" t="s">
        <v>373</v>
      </c>
      <c r="K6" s="132">
        <v>260.47000000000003</v>
      </c>
      <c r="L6" s="132" t="s">
        <v>374</v>
      </c>
      <c r="M6" s="132" t="s">
        <v>375</v>
      </c>
      <c r="N6" s="498"/>
    </row>
    <row r="7" spans="1:15" ht="16" x14ac:dyDescent="0.2">
      <c r="A7" s="40" t="s">
        <v>80</v>
      </c>
      <c r="B7" s="633">
        <f t="shared" si="0"/>
        <v>133.96</v>
      </c>
      <c r="C7" s="497">
        <f t="shared" si="1"/>
        <v>1695.06</v>
      </c>
      <c r="D7" s="37"/>
      <c r="E7" s="131">
        <v>20241021</v>
      </c>
      <c r="F7" s="132"/>
      <c r="G7" s="132" t="s">
        <v>362</v>
      </c>
      <c r="H7" s="132"/>
      <c r="I7" s="132" t="s">
        <v>372</v>
      </c>
      <c r="J7" s="132" t="s">
        <v>373</v>
      </c>
      <c r="K7" s="132">
        <v>133.96</v>
      </c>
      <c r="L7" s="132" t="s">
        <v>374</v>
      </c>
      <c r="M7" s="132" t="s">
        <v>376</v>
      </c>
      <c r="N7" s="498"/>
    </row>
    <row r="8" spans="1:15" ht="16" x14ac:dyDescent="0.2">
      <c r="A8" s="40" t="s">
        <v>117</v>
      </c>
      <c r="B8" s="633">
        <f t="shared" si="0"/>
        <v>499.52</v>
      </c>
      <c r="C8" s="497">
        <f t="shared" si="1"/>
        <v>2194.58</v>
      </c>
      <c r="D8" s="37"/>
      <c r="E8" s="131">
        <v>20241021</v>
      </c>
      <c r="F8" s="132"/>
      <c r="G8" s="132" t="s">
        <v>362</v>
      </c>
      <c r="H8" s="132"/>
      <c r="I8" s="132" t="s">
        <v>372</v>
      </c>
      <c r="J8" s="132" t="s">
        <v>373</v>
      </c>
      <c r="K8" s="132">
        <v>499.52</v>
      </c>
      <c r="L8" s="132" t="s">
        <v>374</v>
      </c>
      <c r="M8" s="132" t="s">
        <v>377</v>
      </c>
    </row>
    <row r="9" spans="1:15" ht="16" x14ac:dyDescent="0.2">
      <c r="A9" s="40" t="s">
        <v>80</v>
      </c>
      <c r="B9" s="633">
        <f t="shared" si="0"/>
        <v>176.99</v>
      </c>
      <c r="C9" s="497">
        <f t="shared" si="1"/>
        <v>2371.5699999999997</v>
      </c>
      <c r="D9" s="37"/>
      <c r="E9" s="131">
        <v>20241022</v>
      </c>
      <c r="F9" s="132"/>
      <c r="G9" s="132" t="s">
        <v>362</v>
      </c>
      <c r="H9" s="132"/>
      <c r="I9" s="132" t="s">
        <v>372</v>
      </c>
      <c r="J9" s="132" t="s">
        <v>373</v>
      </c>
      <c r="K9" s="132">
        <v>176.99</v>
      </c>
      <c r="L9" s="132" t="s">
        <v>374</v>
      </c>
      <c r="M9" s="132" t="s">
        <v>378</v>
      </c>
    </row>
    <row r="10" spans="1:15" ht="16" x14ac:dyDescent="0.2">
      <c r="A10" s="40" t="s">
        <v>80</v>
      </c>
      <c r="B10" s="633">
        <f t="shared" si="0"/>
        <v>64.930000000000007</v>
      </c>
      <c r="C10" s="497">
        <f t="shared" si="1"/>
        <v>2436.4999999999995</v>
      </c>
      <c r="D10" s="37"/>
      <c r="E10" s="131">
        <v>20241023</v>
      </c>
      <c r="F10" s="132"/>
      <c r="G10" s="132" t="s">
        <v>362</v>
      </c>
      <c r="H10" s="132"/>
      <c r="I10" s="132" t="s">
        <v>372</v>
      </c>
      <c r="J10" s="132" t="s">
        <v>373</v>
      </c>
      <c r="K10" s="132">
        <v>64.930000000000007</v>
      </c>
      <c r="L10" s="132" t="s">
        <v>374</v>
      </c>
      <c r="M10" s="132" t="s">
        <v>379</v>
      </c>
      <c r="N10" s="498"/>
    </row>
    <row r="11" spans="1:15" ht="16" x14ac:dyDescent="0.2">
      <c r="A11" s="40" t="s">
        <v>80</v>
      </c>
      <c r="B11" s="633">
        <f t="shared" si="0"/>
        <v>72.97</v>
      </c>
      <c r="C11" s="497">
        <f t="shared" si="1"/>
        <v>2509.4699999999993</v>
      </c>
      <c r="D11" s="37"/>
      <c r="E11" s="131">
        <v>20241024</v>
      </c>
      <c r="F11" s="132"/>
      <c r="G11" s="132" t="s">
        <v>362</v>
      </c>
      <c r="H11" s="132"/>
      <c r="I11" s="132" t="s">
        <v>372</v>
      </c>
      <c r="J11" s="132" t="s">
        <v>373</v>
      </c>
      <c r="K11" s="132">
        <v>72.97</v>
      </c>
      <c r="L11" s="132" t="s">
        <v>374</v>
      </c>
      <c r="M11" s="132" t="s">
        <v>380</v>
      </c>
      <c r="N11" s="498"/>
    </row>
    <row r="12" spans="1:15" ht="16" x14ac:dyDescent="0.2">
      <c r="A12" s="40" t="s">
        <v>80</v>
      </c>
      <c r="B12" s="633">
        <f t="shared" si="0"/>
        <v>26.53</v>
      </c>
      <c r="C12" s="497">
        <f t="shared" si="1"/>
        <v>2535.9999999999995</v>
      </c>
      <c r="D12" s="37"/>
      <c r="E12" s="131">
        <v>20241025</v>
      </c>
      <c r="F12" s="132"/>
      <c r="G12" s="132" t="s">
        <v>362</v>
      </c>
      <c r="H12" s="132"/>
      <c r="I12" s="132" t="s">
        <v>372</v>
      </c>
      <c r="J12" s="132" t="s">
        <v>373</v>
      </c>
      <c r="K12" s="132">
        <v>26.53</v>
      </c>
      <c r="L12" s="132" t="s">
        <v>374</v>
      </c>
      <c r="M12" s="132" t="s">
        <v>381</v>
      </c>
    </row>
    <row r="13" spans="1:15" ht="16" x14ac:dyDescent="0.2">
      <c r="A13" s="40" t="s">
        <v>100</v>
      </c>
      <c r="B13" s="633">
        <f t="shared" si="0"/>
        <v>-40.799999999999997</v>
      </c>
      <c r="C13" s="497">
        <f t="shared" si="1"/>
        <v>2495.1999999999994</v>
      </c>
      <c r="D13" s="37"/>
      <c r="E13" s="131">
        <v>20241026</v>
      </c>
      <c r="F13" s="132"/>
      <c r="G13" s="132" t="s">
        <v>362</v>
      </c>
      <c r="H13" s="133"/>
      <c r="I13" s="132" t="s">
        <v>382</v>
      </c>
      <c r="J13" s="132" t="s">
        <v>364</v>
      </c>
      <c r="K13" s="132">
        <v>-40.799999999999997</v>
      </c>
      <c r="L13" s="132" t="s">
        <v>383</v>
      </c>
      <c r="M13" s="132" t="s">
        <v>384</v>
      </c>
      <c r="N13" s="498"/>
    </row>
    <row r="14" spans="1:15" ht="16" x14ac:dyDescent="0.2">
      <c r="A14" s="40" t="s">
        <v>80</v>
      </c>
      <c r="B14" s="633">
        <f t="shared" si="0"/>
        <v>325.64999999999998</v>
      </c>
      <c r="C14" s="497">
        <f t="shared" si="1"/>
        <v>2820.8499999999995</v>
      </c>
      <c r="D14" s="37"/>
      <c r="E14" s="131">
        <v>20241028</v>
      </c>
      <c r="F14" s="132"/>
      <c r="G14" s="132" t="s">
        <v>362</v>
      </c>
      <c r="H14" s="132"/>
      <c r="I14" s="132" t="s">
        <v>372</v>
      </c>
      <c r="J14" s="132" t="s">
        <v>373</v>
      </c>
      <c r="K14" s="132">
        <v>325.64999999999998</v>
      </c>
      <c r="L14" s="132" t="s">
        <v>374</v>
      </c>
      <c r="M14" s="132" t="s">
        <v>385</v>
      </c>
    </row>
    <row r="15" spans="1:15" ht="16" x14ac:dyDescent="0.2">
      <c r="A15" s="40" t="s">
        <v>80</v>
      </c>
      <c r="B15" s="633">
        <f t="shared" si="0"/>
        <v>106.89</v>
      </c>
      <c r="C15" s="497">
        <f t="shared" si="1"/>
        <v>2927.7399999999993</v>
      </c>
      <c r="D15" s="37"/>
      <c r="E15" s="131">
        <v>20241028</v>
      </c>
      <c r="F15" s="132"/>
      <c r="G15" s="132" t="s">
        <v>362</v>
      </c>
      <c r="H15" s="132"/>
      <c r="I15" s="132" t="s">
        <v>372</v>
      </c>
      <c r="J15" s="132" t="s">
        <v>373</v>
      </c>
      <c r="K15" s="132">
        <v>106.89</v>
      </c>
      <c r="L15" s="132" t="s">
        <v>374</v>
      </c>
      <c r="M15" s="132" t="s">
        <v>386</v>
      </c>
    </row>
    <row r="16" spans="1:15" ht="16" x14ac:dyDescent="0.2">
      <c r="A16" s="40" t="s">
        <v>130</v>
      </c>
      <c r="B16" s="633">
        <f t="shared" si="0"/>
        <v>-231.6</v>
      </c>
      <c r="C16" s="497">
        <f t="shared" si="1"/>
        <v>2696.1399999999994</v>
      </c>
      <c r="D16" s="37"/>
      <c r="E16" s="131">
        <v>20241029</v>
      </c>
      <c r="F16" s="132"/>
      <c r="G16" s="132" t="s">
        <v>362</v>
      </c>
      <c r="H16" s="132"/>
      <c r="I16" s="132" t="s">
        <v>363</v>
      </c>
      <c r="J16" s="132" t="s">
        <v>364</v>
      </c>
      <c r="K16" s="132">
        <v>-231.6</v>
      </c>
      <c r="L16" s="132" t="s">
        <v>365</v>
      </c>
      <c r="M16" s="132" t="s">
        <v>387</v>
      </c>
      <c r="N16" s="498" t="s">
        <v>388</v>
      </c>
    </row>
    <row r="17" spans="1:15" ht="16" x14ac:dyDescent="0.2">
      <c r="A17" s="40" t="s">
        <v>173</v>
      </c>
      <c r="B17" s="633">
        <f t="shared" si="0"/>
        <v>-34.57</v>
      </c>
      <c r="C17" s="497">
        <f t="shared" si="1"/>
        <v>2661.5699999999993</v>
      </c>
      <c r="D17" s="37"/>
      <c r="E17" s="131">
        <v>20241029</v>
      </c>
      <c r="F17" s="132"/>
      <c r="G17" s="132" t="s">
        <v>362</v>
      </c>
      <c r="H17" s="132"/>
      <c r="I17" s="132" t="s">
        <v>363</v>
      </c>
      <c r="J17" s="132" t="s">
        <v>364</v>
      </c>
      <c r="K17" s="132">
        <v>-34.57</v>
      </c>
      <c r="L17" s="132" t="s">
        <v>365</v>
      </c>
      <c r="M17" s="132" t="s">
        <v>389</v>
      </c>
      <c r="N17" s="498" t="s">
        <v>390</v>
      </c>
    </row>
    <row r="18" spans="1:15" ht="16" x14ac:dyDescent="0.2">
      <c r="A18" s="40" t="s">
        <v>131</v>
      </c>
      <c r="B18" s="633">
        <f t="shared" si="0"/>
        <v>-31.69</v>
      </c>
      <c r="C18" s="497">
        <f t="shared" si="1"/>
        <v>2629.8799999999992</v>
      </c>
      <c r="D18" s="37"/>
      <c r="E18" s="131">
        <v>20241029</v>
      </c>
      <c r="F18" s="132"/>
      <c r="G18" s="132" t="s">
        <v>362</v>
      </c>
      <c r="H18" s="132"/>
      <c r="I18" s="132" t="s">
        <v>363</v>
      </c>
      <c r="J18" s="132" t="s">
        <v>364</v>
      </c>
      <c r="K18" s="132">
        <v>-31.69</v>
      </c>
      <c r="L18" s="132" t="s">
        <v>365</v>
      </c>
      <c r="M18" s="132" t="s">
        <v>391</v>
      </c>
      <c r="N18" s="498" t="s">
        <v>392</v>
      </c>
    </row>
    <row r="19" spans="1:15" ht="16" x14ac:dyDescent="0.2">
      <c r="A19" s="40" t="s">
        <v>116</v>
      </c>
      <c r="B19" s="633">
        <f t="shared" si="0"/>
        <v>-738.25</v>
      </c>
      <c r="C19" s="497">
        <f t="shared" si="1"/>
        <v>1891.6299999999992</v>
      </c>
      <c r="D19" s="37"/>
      <c r="E19" s="131">
        <v>20241029</v>
      </c>
      <c r="F19" s="132"/>
      <c r="G19" s="132" t="s">
        <v>362</v>
      </c>
      <c r="H19" s="132"/>
      <c r="I19" s="132" t="s">
        <v>363</v>
      </c>
      <c r="J19" s="132" t="s">
        <v>364</v>
      </c>
      <c r="K19" s="132">
        <v>-738.25</v>
      </c>
      <c r="L19" s="132" t="s">
        <v>365</v>
      </c>
      <c r="M19" s="132" t="s">
        <v>393</v>
      </c>
      <c r="N19" s="498" t="s">
        <v>394</v>
      </c>
    </row>
    <row r="20" spans="1:15" ht="16" x14ac:dyDescent="0.2">
      <c r="A20" s="40" t="s">
        <v>289</v>
      </c>
      <c r="B20" s="633">
        <f t="shared" si="0"/>
        <v>-378</v>
      </c>
      <c r="C20" s="497">
        <f t="shared" si="1"/>
        <v>1513.6299999999992</v>
      </c>
      <c r="D20" s="37"/>
      <c r="E20" s="131">
        <v>20241029</v>
      </c>
      <c r="F20" s="132"/>
      <c r="G20" s="132" t="s">
        <v>362</v>
      </c>
      <c r="H20" s="132"/>
      <c r="I20" s="132" t="s">
        <v>363</v>
      </c>
      <c r="J20" s="132" t="s">
        <v>364</v>
      </c>
      <c r="K20" s="132">
        <v>-378</v>
      </c>
      <c r="L20" s="132" t="s">
        <v>365</v>
      </c>
      <c r="M20" s="132" t="s">
        <v>395</v>
      </c>
      <c r="N20" s="498" t="s">
        <v>396</v>
      </c>
    </row>
    <row r="21" spans="1:15" ht="16" x14ac:dyDescent="0.2">
      <c r="A21" s="40" t="s">
        <v>86</v>
      </c>
      <c r="B21" s="633">
        <f t="shared" si="0"/>
        <v>85.95</v>
      </c>
      <c r="C21" s="497">
        <f t="shared" si="1"/>
        <v>1599.5799999999992</v>
      </c>
      <c r="D21" s="37"/>
      <c r="E21" s="131">
        <v>20241029</v>
      </c>
      <c r="F21" s="132"/>
      <c r="G21" s="132" t="s">
        <v>362</v>
      </c>
      <c r="H21" s="132"/>
      <c r="I21" s="132" t="s">
        <v>372</v>
      </c>
      <c r="J21" s="132" t="s">
        <v>373</v>
      </c>
      <c r="K21" s="132">
        <v>85.95</v>
      </c>
      <c r="L21" s="132" t="s">
        <v>374</v>
      </c>
      <c r="M21" s="132" t="s">
        <v>397</v>
      </c>
    </row>
    <row r="22" spans="1:15" ht="16" x14ac:dyDescent="0.2">
      <c r="A22" s="40" t="s">
        <v>80</v>
      </c>
      <c r="B22" s="633">
        <f t="shared" si="0"/>
        <v>387.37</v>
      </c>
      <c r="C22" s="497">
        <f t="shared" si="1"/>
        <v>1986.9499999999994</v>
      </c>
      <c r="D22" s="37"/>
      <c r="E22" s="131">
        <v>20241029</v>
      </c>
      <c r="F22" s="132"/>
      <c r="G22" s="132" t="s">
        <v>362</v>
      </c>
      <c r="H22" s="132"/>
      <c r="I22" s="132" t="s">
        <v>372</v>
      </c>
      <c r="J22" s="132" t="s">
        <v>373</v>
      </c>
      <c r="K22" s="132">
        <v>387.37</v>
      </c>
      <c r="L22" s="132" t="s">
        <v>374</v>
      </c>
      <c r="M22" s="132" t="s">
        <v>398</v>
      </c>
    </row>
    <row r="23" spans="1:15" ht="16" x14ac:dyDescent="0.2">
      <c r="A23" s="40" t="s">
        <v>80</v>
      </c>
      <c r="B23" s="633">
        <f t="shared" si="0"/>
        <v>135.4</v>
      </c>
      <c r="C23" s="497">
        <f t="shared" si="1"/>
        <v>2122.3499999999995</v>
      </c>
      <c r="D23" s="37"/>
      <c r="E23" s="131">
        <v>20241030</v>
      </c>
      <c r="F23" s="132"/>
      <c r="G23" s="132" t="s">
        <v>362</v>
      </c>
      <c r="H23" s="132"/>
      <c r="I23" s="132" t="s">
        <v>372</v>
      </c>
      <c r="J23" s="132" t="s">
        <v>373</v>
      </c>
      <c r="K23" s="132">
        <v>135.4</v>
      </c>
      <c r="L23" s="132" t="s">
        <v>374</v>
      </c>
      <c r="M23" s="132" t="s">
        <v>399</v>
      </c>
    </row>
    <row r="24" spans="1:15" ht="16" x14ac:dyDescent="0.2">
      <c r="A24" s="40" t="s">
        <v>80</v>
      </c>
      <c r="B24" s="633">
        <f t="shared" si="0"/>
        <v>183.99</v>
      </c>
      <c r="C24" s="497">
        <f t="shared" si="1"/>
        <v>2306.3399999999992</v>
      </c>
      <c r="D24" s="37"/>
      <c r="E24" s="131">
        <v>20241031</v>
      </c>
      <c r="F24" s="132"/>
      <c r="G24" s="132" t="s">
        <v>362</v>
      </c>
      <c r="H24" s="132"/>
      <c r="I24" s="132" t="s">
        <v>372</v>
      </c>
      <c r="J24" s="132" t="s">
        <v>373</v>
      </c>
      <c r="K24" s="132">
        <v>183.99</v>
      </c>
      <c r="L24" s="132" t="s">
        <v>374</v>
      </c>
      <c r="M24" s="132" t="s">
        <v>400</v>
      </c>
      <c r="N24" s="498"/>
    </row>
    <row r="25" spans="1:15" ht="16" x14ac:dyDescent="0.2">
      <c r="A25" s="40" t="s">
        <v>80</v>
      </c>
      <c r="B25" s="633">
        <f t="shared" si="0"/>
        <v>16.170000000000002</v>
      </c>
      <c r="C25" s="497">
        <f t="shared" si="1"/>
        <v>2322.5099999999993</v>
      </c>
      <c r="D25" s="37"/>
      <c r="E25" s="131">
        <v>20241104</v>
      </c>
      <c r="F25" s="132"/>
      <c r="G25" s="132" t="s">
        <v>362</v>
      </c>
      <c r="H25" s="132"/>
      <c r="I25" s="132" t="s">
        <v>372</v>
      </c>
      <c r="J25" s="132" t="s">
        <v>373</v>
      </c>
      <c r="K25" s="132">
        <v>16.170000000000002</v>
      </c>
      <c r="L25" s="132" t="s">
        <v>374</v>
      </c>
      <c r="M25" s="132" t="s">
        <v>401</v>
      </c>
    </row>
    <row r="26" spans="1:15" ht="16" x14ac:dyDescent="0.2">
      <c r="A26" s="40" t="s">
        <v>88</v>
      </c>
      <c r="B26" s="633">
        <f t="shared" si="0"/>
        <v>-14.99</v>
      </c>
      <c r="C26" s="497">
        <f t="shared" si="1"/>
        <v>2307.5199999999995</v>
      </c>
      <c r="D26" s="37"/>
      <c r="E26" s="131">
        <v>20241108</v>
      </c>
      <c r="F26" s="132"/>
      <c r="G26" s="132" t="s">
        <v>362</v>
      </c>
      <c r="H26" s="132"/>
      <c r="I26" s="132" t="s">
        <v>363</v>
      </c>
      <c r="J26" s="132" t="s">
        <v>364</v>
      </c>
      <c r="K26" s="132">
        <v>-14.99</v>
      </c>
      <c r="L26" s="132" t="s">
        <v>365</v>
      </c>
      <c r="M26" s="132" t="s">
        <v>402</v>
      </c>
      <c r="N26" s="498" t="s">
        <v>403</v>
      </c>
    </row>
    <row r="27" spans="1:15" ht="16" x14ac:dyDescent="0.2">
      <c r="A27" s="40" t="s">
        <v>209</v>
      </c>
      <c r="B27" s="633">
        <f t="shared" si="0"/>
        <v>-700</v>
      </c>
      <c r="C27" s="497">
        <f t="shared" si="1"/>
        <v>1607.5199999999995</v>
      </c>
      <c r="D27" s="37"/>
      <c r="E27" s="131">
        <v>20241108</v>
      </c>
      <c r="F27" s="132"/>
      <c r="G27" s="132" t="s">
        <v>362</v>
      </c>
      <c r="H27" s="132"/>
      <c r="I27" s="132" t="s">
        <v>363</v>
      </c>
      <c r="J27" s="132" t="s">
        <v>364</v>
      </c>
      <c r="K27" s="132">
        <v>-700</v>
      </c>
      <c r="L27" s="132" t="s">
        <v>365</v>
      </c>
      <c r="M27" s="132" t="s">
        <v>404</v>
      </c>
      <c r="N27" s="498" t="s">
        <v>405</v>
      </c>
    </row>
    <row r="28" spans="1:15" ht="16" x14ac:dyDescent="0.2">
      <c r="A28" s="40" t="s">
        <v>210</v>
      </c>
      <c r="B28" s="633">
        <f t="shared" si="0"/>
        <v>-17.440000000000001</v>
      </c>
      <c r="C28" s="497">
        <f t="shared" si="1"/>
        <v>1590.0799999999995</v>
      </c>
      <c r="D28" s="37"/>
      <c r="E28" s="131">
        <v>20241108</v>
      </c>
      <c r="F28" s="132"/>
      <c r="G28" s="132" t="s">
        <v>362</v>
      </c>
      <c r="H28" s="132"/>
      <c r="I28" s="132" t="s">
        <v>363</v>
      </c>
      <c r="J28" s="132" t="s">
        <v>364</v>
      </c>
      <c r="K28" s="132">
        <v>-17.440000000000001</v>
      </c>
      <c r="L28" s="132" t="s">
        <v>365</v>
      </c>
      <c r="M28" s="132" t="s">
        <v>406</v>
      </c>
      <c r="N28" s="498" t="s">
        <v>407</v>
      </c>
    </row>
    <row r="29" spans="1:15" ht="16" x14ac:dyDescent="0.2">
      <c r="A29" s="40" t="s">
        <v>116</v>
      </c>
      <c r="B29" s="633">
        <f t="shared" si="0"/>
        <v>-125</v>
      </c>
      <c r="C29" s="497">
        <f t="shared" si="1"/>
        <v>1465.0799999999995</v>
      </c>
      <c r="D29" s="37"/>
      <c r="E29" s="131">
        <v>20241108</v>
      </c>
      <c r="F29" s="132"/>
      <c r="G29" s="132" t="s">
        <v>362</v>
      </c>
      <c r="H29" s="132"/>
      <c r="I29" s="132" t="s">
        <v>363</v>
      </c>
      <c r="J29" s="132" t="s">
        <v>364</v>
      </c>
      <c r="K29" s="132">
        <v>-125</v>
      </c>
      <c r="L29" s="132" t="s">
        <v>365</v>
      </c>
      <c r="M29" s="132" t="s">
        <v>408</v>
      </c>
      <c r="N29" s="498" t="s">
        <v>409</v>
      </c>
    </row>
    <row r="30" spans="1:15" ht="16" x14ac:dyDescent="0.2">
      <c r="A30" s="40" t="s">
        <v>94</v>
      </c>
      <c r="B30" s="633">
        <f t="shared" si="0"/>
        <v>-15.72</v>
      </c>
      <c r="C30" s="497">
        <f t="shared" si="1"/>
        <v>1449.3599999999994</v>
      </c>
      <c r="D30" s="37"/>
      <c r="E30" s="131">
        <v>20241108</v>
      </c>
      <c r="F30" s="132"/>
      <c r="G30" s="132" t="s">
        <v>362</v>
      </c>
      <c r="H30" s="132"/>
      <c r="I30" s="132" t="s">
        <v>368</v>
      </c>
      <c r="J30" s="132" t="s">
        <v>364</v>
      </c>
      <c r="K30" s="132">
        <v>-15.72</v>
      </c>
      <c r="L30" s="132" t="s">
        <v>369</v>
      </c>
      <c r="M30" s="132" t="s">
        <v>410</v>
      </c>
      <c r="N30" s="498"/>
      <c r="O30" t="s">
        <v>411</v>
      </c>
    </row>
    <row r="31" spans="1:15" ht="16" x14ac:dyDescent="0.2">
      <c r="A31" s="40" t="s">
        <v>80</v>
      </c>
      <c r="B31" s="633">
        <f t="shared" si="0"/>
        <v>38.54</v>
      </c>
      <c r="C31" s="497">
        <f t="shared" si="1"/>
        <v>1487.8999999999994</v>
      </c>
      <c r="D31" s="37"/>
      <c r="E31" s="131">
        <v>20241111</v>
      </c>
      <c r="F31" s="132"/>
      <c r="G31" s="132" t="s">
        <v>362</v>
      </c>
      <c r="H31" s="132"/>
      <c r="I31" s="132" t="s">
        <v>372</v>
      </c>
      <c r="J31" s="132" t="s">
        <v>373</v>
      </c>
      <c r="K31" s="132">
        <v>38.54</v>
      </c>
      <c r="L31" s="132" t="s">
        <v>374</v>
      </c>
      <c r="M31" s="132" t="s">
        <v>412</v>
      </c>
    </row>
    <row r="32" spans="1:15" ht="16" x14ac:dyDescent="0.2">
      <c r="A32" s="40" t="s">
        <v>80</v>
      </c>
      <c r="B32" s="633">
        <f t="shared" si="0"/>
        <v>12.44</v>
      </c>
      <c r="C32" s="497">
        <f t="shared" si="1"/>
        <v>1500.3399999999995</v>
      </c>
      <c r="D32" s="37"/>
      <c r="E32" s="131">
        <v>20241111</v>
      </c>
      <c r="F32" s="132"/>
      <c r="G32" s="132" t="s">
        <v>362</v>
      </c>
      <c r="H32" s="132"/>
      <c r="I32" s="132" t="s">
        <v>372</v>
      </c>
      <c r="J32" s="132" t="s">
        <v>373</v>
      </c>
      <c r="K32" s="132">
        <v>12.44</v>
      </c>
      <c r="L32" s="132" t="s">
        <v>374</v>
      </c>
      <c r="M32" s="132" t="s">
        <v>413</v>
      </c>
    </row>
    <row r="33" spans="1:14" ht="16" x14ac:dyDescent="0.2">
      <c r="A33" s="40" t="s">
        <v>80</v>
      </c>
      <c r="B33" s="633">
        <f t="shared" si="0"/>
        <v>45.66</v>
      </c>
      <c r="C33" s="497">
        <f t="shared" si="1"/>
        <v>1545.9999999999995</v>
      </c>
      <c r="D33" s="37"/>
      <c r="E33" s="131">
        <v>20241112</v>
      </c>
      <c r="F33" s="132"/>
      <c r="G33" s="132" t="s">
        <v>362</v>
      </c>
      <c r="H33" s="132"/>
      <c r="I33" s="132" t="s">
        <v>372</v>
      </c>
      <c r="J33" s="132" t="s">
        <v>373</v>
      </c>
      <c r="K33" s="132">
        <v>45.66</v>
      </c>
      <c r="L33" s="132" t="s">
        <v>374</v>
      </c>
      <c r="M33" s="132" t="s">
        <v>414</v>
      </c>
    </row>
    <row r="34" spans="1:14" ht="16" x14ac:dyDescent="0.2">
      <c r="A34" s="40" t="s">
        <v>80</v>
      </c>
      <c r="B34" s="633">
        <f t="shared" si="0"/>
        <v>32.18</v>
      </c>
      <c r="C34" s="497">
        <f t="shared" si="1"/>
        <v>1578.1799999999996</v>
      </c>
      <c r="D34" s="37"/>
      <c r="E34" s="131">
        <v>20241113</v>
      </c>
      <c r="F34" s="132"/>
      <c r="G34" s="132" t="s">
        <v>362</v>
      </c>
      <c r="H34" s="132"/>
      <c r="I34" s="132" t="s">
        <v>372</v>
      </c>
      <c r="J34" s="132" t="s">
        <v>373</v>
      </c>
      <c r="K34" s="132">
        <v>32.18</v>
      </c>
      <c r="L34" s="132" t="s">
        <v>374</v>
      </c>
      <c r="M34" s="132" t="s">
        <v>415</v>
      </c>
      <c r="N34" s="498"/>
    </row>
    <row r="35" spans="1:14" ht="16" x14ac:dyDescent="0.2">
      <c r="A35" s="40" t="s">
        <v>80</v>
      </c>
      <c r="B35" s="633">
        <f t="shared" si="0"/>
        <v>30.05</v>
      </c>
      <c r="C35" s="497">
        <f t="shared" si="1"/>
        <v>1608.2299999999996</v>
      </c>
      <c r="D35" s="37"/>
      <c r="E35" s="131">
        <v>20241114</v>
      </c>
      <c r="F35" s="132"/>
      <c r="G35" s="132" t="s">
        <v>362</v>
      </c>
      <c r="H35" s="132"/>
      <c r="I35" s="132" t="s">
        <v>372</v>
      </c>
      <c r="J35" s="132" t="s">
        <v>373</v>
      </c>
      <c r="K35" s="132">
        <v>30.05</v>
      </c>
      <c r="L35" s="132" t="s">
        <v>374</v>
      </c>
      <c r="M35" s="132" t="s">
        <v>416</v>
      </c>
      <c r="N35" s="498"/>
    </row>
    <row r="36" spans="1:14" ht="16" x14ac:dyDescent="0.2">
      <c r="A36" s="40" t="s">
        <v>103</v>
      </c>
      <c r="B36" s="633">
        <f t="shared" si="0"/>
        <v>-30.25</v>
      </c>
      <c r="C36" s="497">
        <f t="shared" si="1"/>
        <v>1577.9799999999996</v>
      </c>
      <c r="D36" s="37"/>
      <c r="E36" s="131">
        <v>20241114</v>
      </c>
      <c r="F36" s="132"/>
      <c r="G36" s="132" t="s">
        <v>362</v>
      </c>
      <c r="H36" s="132"/>
      <c r="I36" s="132" t="s">
        <v>368</v>
      </c>
      <c r="J36" s="132" t="s">
        <v>364</v>
      </c>
      <c r="K36" s="132">
        <v>-30.25</v>
      </c>
      <c r="L36" s="132" t="s">
        <v>369</v>
      </c>
      <c r="M36" s="132" t="s">
        <v>417</v>
      </c>
      <c r="N36" s="498"/>
    </row>
    <row r="37" spans="1:14" ht="16" x14ac:dyDescent="0.2">
      <c r="A37" s="40" t="s">
        <v>80</v>
      </c>
      <c r="B37" s="633">
        <f t="shared" si="0"/>
        <v>31.18</v>
      </c>
      <c r="C37" s="497">
        <f t="shared" si="1"/>
        <v>1609.1599999999996</v>
      </c>
      <c r="D37" s="37"/>
      <c r="E37" s="131">
        <v>20241115</v>
      </c>
      <c r="F37" s="132"/>
      <c r="G37" s="132" t="s">
        <v>362</v>
      </c>
      <c r="H37" s="132"/>
      <c r="I37" s="132" t="s">
        <v>372</v>
      </c>
      <c r="J37" s="132" t="s">
        <v>373</v>
      </c>
      <c r="K37" s="132">
        <v>31.18</v>
      </c>
      <c r="L37" s="132" t="s">
        <v>374</v>
      </c>
      <c r="M37" s="132" t="s">
        <v>418</v>
      </c>
    </row>
    <row r="38" spans="1:14" ht="16" x14ac:dyDescent="0.2">
      <c r="A38" s="40" t="s">
        <v>110</v>
      </c>
      <c r="B38" s="633">
        <f t="shared" si="0"/>
        <v>-25.41</v>
      </c>
      <c r="C38" s="497">
        <f t="shared" si="1"/>
        <v>1583.7499999999995</v>
      </c>
      <c r="D38" s="37"/>
      <c r="E38" s="131">
        <v>20241115</v>
      </c>
      <c r="F38" s="498"/>
      <c r="G38" s="132" t="s">
        <v>362</v>
      </c>
      <c r="H38" s="132"/>
      <c r="I38" s="132" t="s">
        <v>368</v>
      </c>
      <c r="J38" s="132" t="s">
        <v>364</v>
      </c>
      <c r="K38" s="132">
        <v>-25.41</v>
      </c>
      <c r="L38" s="132" t="s">
        <v>369</v>
      </c>
      <c r="M38" s="132" t="s">
        <v>419</v>
      </c>
      <c r="N38" s="498"/>
    </row>
    <row r="39" spans="1:14" ht="16" x14ac:dyDescent="0.2">
      <c r="A39" s="40" t="s">
        <v>91</v>
      </c>
      <c r="B39" s="633">
        <f t="shared" si="0"/>
        <v>199.5</v>
      </c>
      <c r="C39" s="497">
        <f t="shared" ref="C39:C67" si="2">C38+B39</f>
        <v>1783.2499999999995</v>
      </c>
      <c r="D39" s="37"/>
      <c r="E39" s="131">
        <v>20241116</v>
      </c>
      <c r="F39" s="132"/>
      <c r="G39" s="132" t="s">
        <v>362</v>
      </c>
      <c r="H39" s="132"/>
      <c r="I39" s="132" t="s">
        <v>372</v>
      </c>
      <c r="J39" s="132" t="s">
        <v>373</v>
      </c>
      <c r="K39" s="132">
        <v>199.5</v>
      </c>
      <c r="L39" s="132" t="s">
        <v>374</v>
      </c>
      <c r="M39" s="132" t="s">
        <v>420</v>
      </c>
      <c r="N39" s="498"/>
    </row>
    <row r="40" spans="1:14" ht="16" x14ac:dyDescent="0.2">
      <c r="A40" s="40" t="s">
        <v>80</v>
      </c>
      <c r="B40" s="633">
        <f t="shared" si="0"/>
        <v>20.82</v>
      </c>
      <c r="C40" s="497">
        <f t="shared" si="2"/>
        <v>1804.0699999999995</v>
      </c>
      <c r="D40" s="37"/>
      <c r="E40" s="131">
        <v>20241118</v>
      </c>
      <c r="F40" s="132"/>
      <c r="G40" s="132" t="s">
        <v>362</v>
      </c>
      <c r="H40" s="132"/>
      <c r="I40" s="132" t="s">
        <v>372</v>
      </c>
      <c r="J40" s="132" t="s">
        <v>373</v>
      </c>
      <c r="K40" s="132">
        <v>20.82</v>
      </c>
      <c r="L40" s="132" t="s">
        <v>374</v>
      </c>
      <c r="M40" s="132" t="s">
        <v>421</v>
      </c>
      <c r="N40" s="498"/>
    </row>
    <row r="41" spans="1:14" ht="16" x14ac:dyDescent="0.2">
      <c r="A41" s="40" t="s">
        <v>80</v>
      </c>
      <c r="B41" s="633">
        <f t="shared" si="0"/>
        <v>3.3</v>
      </c>
      <c r="C41" s="497">
        <f t="shared" si="2"/>
        <v>1807.3699999999994</v>
      </c>
      <c r="D41" s="37"/>
      <c r="E41" s="131">
        <v>20241118</v>
      </c>
      <c r="F41" s="132"/>
      <c r="G41" s="132" t="s">
        <v>362</v>
      </c>
      <c r="H41" s="132"/>
      <c r="I41" s="132" t="s">
        <v>372</v>
      </c>
      <c r="J41" s="132" t="s">
        <v>373</v>
      </c>
      <c r="K41" s="132">
        <v>3.3</v>
      </c>
      <c r="L41" s="132" t="s">
        <v>374</v>
      </c>
      <c r="M41" s="132" t="s">
        <v>422</v>
      </c>
      <c r="N41" s="498"/>
    </row>
    <row r="42" spans="1:14" ht="16" x14ac:dyDescent="0.2">
      <c r="A42" s="40" t="s">
        <v>118</v>
      </c>
      <c r="B42" s="633">
        <f t="shared" si="0"/>
        <v>27596.22</v>
      </c>
      <c r="C42" s="497">
        <f t="shared" si="2"/>
        <v>29403.59</v>
      </c>
      <c r="D42" s="37"/>
      <c r="E42" s="131">
        <v>20241119</v>
      </c>
      <c r="F42" s="132"/>
      <c r="G42" s="132" t="s">
        <v>362</v>
      </c>
      <c r="H42" s="132"/>
      <c r="I42" s="132" t="s">
        <v>372</v>
      </c>
      <c r="J42" s="132" t="s">
        <v>373</v>
      </c>
      <c r="K42" s="132">
        <v>27596.22</v>
      </c>
      <c r="L42" s="132" t="s">
        <v>374</v>
      </c>
      <c r="M42" s="132" t="s">
        <v>423</v>
      </c>
      <c r="N42" s="498"/>
    </row>
    <row r="43" spans="1:14" ht="16" x14ac:dyDescent="0.2">
      <c r="A43" s="40" t="s">
        <v>80</v>
      </c>
      <c r="B43" s="633">
        <f t="shared" si="0"/>
        <v>14.86</v>
      </c>
      <c r="C43" s="497">
        <f t="shared" si="2"/>
        <v>29418.45</v>
      </c>
      <c r="D43" s="37"/>
      <c r="E43" s="131">
        <v>20241119</v>
      </c>
      <c r="F43" s="132"/>
      <c r="G43" s="132" t="s">
        <v>362</v>
      </c>
      <c r="H43" s="132"/>
      <c r="I43" s="132" t="s">
        <v>372</v>
      </c>
      <c r="J43" s="132" t="s">
        <v>373</v>
      </c>
      <c r="K43" s="132">
        <v>14.86</v>
      </c>
      <c r="L43" s="132" t="s">
        <v>374</v>
      </c>
      <c r="M43" s="132" t="s">
        <v>424</v>
      </c>
      <c r="N43" s="498"/>
    </row>
    <row r="44" spans="1:14" ht="16" x14ac:dyDescent="0.2">
      <c r="A44" s="658" t="s">
        <v>120</v>
      </c>
      <c r="B44" s="633">
        <f t="shared" si="0"/>
        <v>-3000</v>
      </c>
      <c r="C44" s="497">
        <f t="shared" si="2"/>
        <v>26418.45</v>
      </c>
      <c r="D44" s="37"/>
      <c r="E44" s="131">
        <v>20241120</v>
      </c>
      <c r="F44" s="132"/>
      <c r="G44" s="132" t="s">
        <v>362</v>
      </c>
      <c r="H44" s="133"/>
      <c r="I44" s="132" t="s">
        <v>363</v>
      </c>
      <c r="J44" s="132" t="s">
        <v>364</v>
      </c>
      <c r="K44" s="132">
        <v>-3000</v>
      </c>
      <c r="L44" s="132" t="s">
        <v>365</v>
      </c>
      <c r="M44" s="132" t="s">
        <v>426</v>
      </c>
    </row>
    <row r="45" spans="1:14" ht="16" x14ac:dyDescent="0.2">
      <c r="A45" s="658" t="s">
        <v>119</v>
      </c>
      <c r="B45" s="633">
        <f t="shared" si="0"/>
        <v>-9500</v>
      </c>
      <c r="C45" s="497">
        <f t="shared" si="2"/>
        <v>16918.45</v>
      </c>
      <c r="D45" s="37"/>
      <c r="E45" s="131">
        <v>20241120</v>
      </c>
      <c r="F45" s="132"/>
      <c r="G45" s="132" t="s">
        <v>362</v>
      </c>
      <c r="H45" s="133"/>
      <c r="I45" s="132" t="s">
        <v>363</v>
      </c>
      <c r="J45" s="132" t="s">
        <v>364</v>
      </c>
      <c r="K45" s="132">
        <v>-9500</v>
      </c>
      <c r="L45" s="132" t="s">
        <v>365</v>
      </c>
      <c r="M45" s="132" t="s">
        <v>427</v>
      </c>
    </row>
    <row r="46" spans="1:14" ht="16" x14ac:dyDescent="0.2">
      <c r="A46" s="40" t="s">
        <v>80</v>
      </c>
      <c r="B46" s="633">
        <f t="shared" si="0"/>
        <v>13.26</v>
      </c>
      <c r="C46" s="497">
        <f t="shared" si="2"/>
        <v>16931.71</v>
      </c>
      <c r="D46" s="37"/>
      <c r="E46" s="131">
        <v>20241120</v>
      </c>
      <c r="F46" s="132"/>
      <c r="G46" s="132" t="s">
        <v>362</v>
      </c>
      <c r="H46" s="132"/>
      <c r="I46" s="132" t="s">
        <v>372</v>
      </c>
      <c r="J46" s="132" t="s">
        <v>373</v>
      </c>
      <c r="K46" s="132">
        <v>13.26</v>
      </c>
      <c r="L46" s="132" t="s">
        <v>374</v>
      </c>
      <c r="M46" s="132" t="s">
        <v>428</v>
      </c>
    </row>
    <row r="47" spans="1:14" ht="16" x14ac:dyDescent="0.2">
      <c r="A47" s="40" t="s">
        <v>80</v>
      </c>
      <c r="B47" s="633">
        <f t="shared" si="0"/>
        <v>9.94</v>
      </c>
      <c r="C47" s="497">
        <f t="shared" si="2"/>
        <v>16941.649999999998</v>
      </c>
      <c r="D47" s="37"/>
      <c r="E47" s="131">
        <v>20241121</v>
      </c>
      <c r="F47" s="132"/>
      <c r="G47" s="132" t="s">
        <v>362</v>
      </c>
      <c r="H47" s="132"/>
      <c r="I47" s="132" t="s">
        <v>372</v>
      </c>
      <c r="J47" s="132" t="s">
        <v>373</v>
      </c>
      <c r="K47" s="132">
        <v>9.94</v>
      </c>
      <c r="L47" s="132" t="s">
        <v>374</v>
      </c>
      <c r="M47" s="132" t="s">
        <v>429</v>
      </c>
    </row>
    <row r="48" spans="1:14" ht="16" x14ac:dyDescent="0.2">
      <c r="A48" s="40" t="s">
        <v>80</v>
      </c>
      <c r="B48" s="633">
        <f t="shared" si="0"/>
        <v>8.9</v>
      </c>
      <c r="C48" s="497">
        <f t="shared" si="2"/>
        <v>16950.55</v>
      </c>
      <c r="D48" s="37"/>
      <c r="E48" s="131">
        <v>20241122</v>
      </c>
      <c r="F48" s="132"/>
      <c r="G48" s="132" t="s">
        <v>362</v>
      </c>
      <c r="H48" s="132"/>
      <c r="I48" s="132" t="s">
        <v>372</v>
      </c>
      <c r="J48" s="132" t="s">
        <v>373</v>
      </c>
      <c r="K48" s="132">
        <v>8.9</v>
      </c>
      <c r="L48" s="132" t="s">
        <v>374</v>
      </c>
      <c r="M48" s="132" t="s">
        <v>430</v>
      </c>
    </row>
    <row r="49" spans="1:14" ht="16" x14ac:dyDescent="0.2">
      <c r="A49" s="40" t="s">
        <v>127</v>
      </c>
      <c r="B49" s="633">
        <f t="shared" si="0"/>
        <v>-703.7</v>
      </c>
      <c r="C49" s="497">
        <f t="shared" si="2"/>
        <v>16246.849999999999</v>
      </c>
      <c r="D49" s="37"/>
      <c r="E49" s="131">
        <v>20241125</v>
      </c>
      <c r="F49" s="132"/>
      <c r="G49" s="132" t="s">
        <v>362</v>
      </c>
      <c r="H49" s="132"/>
      <c r="I49" s="132" t="s">
        <v>363</v>
      </c>
      <c r="J49" s="132" t="s">
        <v>364</v>
      </c>
      <c r="K49" s="132">
        <v>-703.7</v>
      </c>
      <c r="L49" s="132" t="s">
        <v>365</v>
      </c>
      <c r="M49" s="132" t="s">
        <v>431</v>
      </c>
      <c r="N49" s="498" t="s">
        <v>432</v>
      </c>
    </row>
    <row r="50" spans="1:14" ht="16" x14ac:dyDescent="0.2">
      <c r="A50" s="40" t="s">
        <v>127</v>
      </c>
      <c r="B50" s="633">
        <f t="shared" si="0"/>
        <v>-3.03</v>
      </c>
      <c r="C50" s="497">
        <f t="shared" si="2"/>
        <v>16243.819999999998</v>
      </c>
      <c r="D50" s="37"/>
      <c r="E50" s="131">
        <v>20241125</v>
      </c>
      <c r="F50" s="132"/>
      <c r="G50" s="132" t="s">
        <v>362</v>
      </c>
      <c r="H50" s="132"/>
      <c r="I50" s="132" t="s">
        <v>363</v>
      </c>
      <c r="J50" s="132" t="s">
        <v>364</v>
      </c>
      <c r="K50" s="132">
        <v>-3.03</v>
      </c>
      <c r="L50" s="132" t="s">
        <v>365</v>
      </c>
      <c r="M50" s="132" t="s">
        <v>433</v>
      </c>
      <c r="N50" s="498" t="s">
        <v>434</v>
      </c>
    </row>
    <row r="51" spans="1:14" ht="16" x14ac:dyDescent="0.2">
      <c r="A51" s="40" t="s">
        <v>196</v>
      </c>
      <c r="B51" s="633">
        <f t="shared" si="0"/>
        <v>-118.65</v>
      </c>
      <c r="C51" s="497">
        <f t="shared" si="2"/>
        <v>16125.169999999998</v>
      </c>
      <c r="D51" s="37"/>
      <c r="E51" s="131">
        <v>20241125</v>
      </c>
      <c r="F51" s="132"/>
      <c r="G51" s="132" t="s">
        <v>362</v>
      </c>
      <c r="H51" s="132"/>
      <c r="I51" s="132" t="s">
        <v>363</v>
      </c>
      <c r="J51" s="132" t="s">
        <v>364</v>
      </c>
      <c r="K51" s="132">
        <v>-118.65</v>
      </c>
      <c r="L51" s="132" t="s">
        <v>365</v>
      </c>
      <c r="M51" s="132" t="s">
        <v>435</v>
      </c>
      <c r="N51" s="498" t="s">
        <v>436</v>
      </c>
    </row>
    <row r="52" spans="1:14" ht="16" x14ac:dyDescent="0.2">
      <c r="A52" s="40" t="s">
        <v>116</v>
      </c>
      <c r="B52" s="633">
        <f t="shared" si="0"/>
        <v>-175</v>
      </c>
      <c r="C52" s="497">
        <f t="shared" si="2"/>
        <v>15950.169999999998</v>
      </c>
      <c r="D52" s="37"/>
      <c r="E52" s="131">
        <v>20241125</v>
      </c>
      <c r="F52" s="132"/>
      <c r="G52" s="132" t="s">
        <v>362</v>
      </c>
      <c r="H52" s="132"/>
      <c r="I52" s="132" t="s">
        <v>363</v>
      </c>
      <c r="J52" s="132" t="s">
        <v>364</v>
      </c>
      <c r="K52" s="132">
        <v>-175</v>
      </c>
      <c r="L52" s="132" t="s">
        <v>365</v>
      </c>
      <c r="M52" s="132" t="s">
        <v>437</v>
      </c>
      <c r="N52" s="498" t="s">
        <v>438</v>
      </c>
    </row>
    <row r="53" spans="1:14" ht="16" x14ac:dyDescent="0.2">
      <c r="A53" s="40" t="s">
        <v>116</v>
      </c>
      <c r="B53" s="633">
        <f t="shared" si="0"/>
        <v>-124.99</v>
      </c>
      <c r="C53" s="497">
        <f t="shared" si="2"/>
        <v>15825.179999999998</v>
      </c>
      <c r="D53" s="37"/>
      <c r="E53" s="131">
        <v>20241125</v>
      </c>
      <c r="F53" s="132"/>
      <c r="G53" s="132" t="s">
        <v>362</v>
      </c>
      <c r="H53" s="132"/>
      <c r="I53" s="132" t="s">
        <v>363</v>
      </c>
      <c r="J53" s="132" t="s">
        <v>364</v>
      </c>
      <c r="K53" s="132">
        <v>-124.99</v>
      </c>
      <c r="L53" s="132" t="s">
        <v>365</v>
      </c>
      <c r="M53" s="132" t="s">
        <v>439</v>
      </c>
      <c r="N53" s="498" t="s">
        <v>440</v>
      </c>
    </row>
    <row r="54" spans="1:14" ht="16" x14ac:dyDescent="0.2">
      <c r="A54" s="40" t="s">
        <v>116</v>
      </c>
      <c r="B54" s="633">
        <f t="shared" si="0"/>
        <v>-125</v>
      </c>
      <c r="C54" s="497">
        <f t="shared" si="2"/>
        <v>15700.179999999998</v>
      </c>
      <c r="D54" s="37"/>
      <c r="E54" s="131">
        <v>20241125</v>
      </c>
      <c r="F54" s="132"/>
      <c r="G54" s="132" t="s">
        <v>362</v>
      </c>
      <c r="H54" s="132"/>
      <c r="I54" s="132" t="s">
        <v>363</v>
      </c>
      <c r="J54" s="132" t="s">
        <v>364</v>
      </c>
      <c r="K54" s="132">
        <v>-125</v>
      </c>
      <c r="L54" s="132" t="s">
        <v>365</v>
      </c>
      <c r="M54" s="132" t="s">
        <v>441</v>
      </c>
      <c r="N54" s="498" t="s">
        <v>442</v>
      </c>
    </row>
    <row r="55" spans="1:14" ht="16" x14ac:dyDescent="0.2">
      <c r="A55" s="40" t="s">
        <v>80</v>
      </c>
      <c r="B55" s="633">
        <f t="shared" si="0"/>
        <v>9.2100000000000009</v>
      </c>
      <c r="C55" s="497">
        <f t="shared" si="2"/>
        <v>15709.389999999998</v>
      </c>
      <c r="D55" s="37"/>
      <c r="E55" s="131">
        <v>20241125</v>
      </c>
      <c r="F55" s="132"/>
      <c r="G55" s="132" t="s">
        <v>362</v>
      </c>
      <c r="H55" s="132"/>
      <c r="I55" s="132" t="s">
        <v>372</v>
      </c>
      <c r="J55" s="132" t="s">
        <v>373</v>
      </c>
      <c r="K55" s="132">
        <v>9.2100000000000009</v>
      </c>
      <c r="L55" s="132" t="s">
        <v>374</v>
      </c>
      <c r="M55" s="132" t="s">
        <v>443</v>
      </c>
      <c r="N55" s="498"/>
    </row>
    <row r="56" spans="1:14" ht="16" x14ac:dyDescent="0.2">
      <c r="A56" s="40" t="s">
        <v>80</v>
      </c>
      <c r="B56" s="633">
        <f t="shared" si="0"/>
        <v>13.86</v>
      </c>
      <c r="C56" s="497">
        <f t="shared" si="2"/>
        <v>15723.249999999998</v>
      </c>
      <c r="D56" s="37"/>
      <c r="E56" s="131">
        <v>20241125</v>
      </c>
      <c r="F56" s="132"/>
      <c r="G56" s="132" t="s">
        <v>362</v>
      </c>
      <c r="H56" s="132"/>
      <c r="I56" s="132" t="s">
        <v>372</v>
      </c>
      <c r="J56" s="132" t="s">
        <v>373</v>
      </c>
      <c r="K56" s="132">
        <v>13.86</v>
      </c>
      <c r="L56" s="132" t="s">
        <v>374</v>
      </c>
      <c r="M56" s="132" t="s">
        <v>444</v>
      </c>
      <c r="N56" s="498"/>
    </row>
    <row r="57" spans="1:14" ht="16" x14ac:dyDescent="0.2">
      <c r="A57" s="40" t="s">
        <v>80</v>
      </c>
      <c r="B57" s="633">
        <f t="shared" si="0"/>
        <v>11.88</v>
      </c>
      <c r="C57" s="497">
        <f t="shared" si="2"/>
        <v>15735.129999999997</v>
      </c>
      <c r="D57" s="37"/>
      <c r="E57" s="131">
        <v>20241126</v>
      </c>
      <c r="F57" s="132"/>
      <c r="G57" s="132" t="s">
        <v>362</v>
      </c>
      <c r="H57" s="132"/>
      <c r="I57" s="132" t="s">
        <v>372</v>
      </c>
      <c r="J57" s="132" t="s">
        <v>373</v>
      </c>
      <c r="K57" s="132">
        <v>11.88</v>
      </c>
      <c r="L57" s="132" t="s">
        <v>374</v>
      </c>
      <c r="M57" s="132" t="s">
        <v>445</v>
      </c>
    </row>
    <row r="58" spans="1:14" ht="16" x14ac:dyDescent="0.2">
      <c r="A58" s="40" t="s">
        <v>100</v>
      </c>
      <c r="B58" s="633">
        <f t="shared" si="0"/>
        <v>-42.15</v>
      </c>
      <c r="C58" s="497">
        <f t="shared" si="2"/>
        <v>15692.979999999998</v>
      </c>
      <c r="D58" s="37"/>
      <c r="E58" s="131">
        <v>20241126</v>
      </c>
      <c r="F58" s="132"/>
      <c r="G58" s="132" t="s">
        <v>362</v>
      </c>
      <c r="H58" s="133"/>
      <c r="I58" s="132" t="s">
        <v>382</v>
      </c>
      <c r="J58" s="132" t="s">
        <v>364</v>
      </c>
      <c r="K58" s="132">
        <v>-42.15</v>
      </c>
      <c r="L58" s="132" t="s">
        <v>383</v>
      </c>
      <c r="M58" s="132" t="s">
        <v>446</v>
      </c>
    </row>
    <row r="59" spans="1:14" ht="16" x14ac:dyDescent="0.2">
      <c r="A59" s="40" t="s">
        <v>80</v>
      </c>
      <c r="B59" s="633">
        <f t="shared" si="0"/>
        <v>20.77</v>
      </c>
      <c r="C59" s="497">
        <f t="shared" si="2"/>
        <v>15713.749999999998</v>
      </c>
      <c r="D59" s="37"/>
      <c r="E59" s="131">
        <v>20241127</v>
      </c>
      <c r="F59" s="132"/>
      <c r="G59" s="132" t="s">
        <v>362</v>
      </c>
      <c r="H59" s="132"/>
      <c r="I59" s="132" t="s">
        <v>372</v>
      </c>
      <c r="J59" s="132" t="s">
        <v>373</v>
      </c>
      <c r="K59" s="132">
        <v>20.77</v>
      </c>
      <c r="L59" s="132" t="s">
        <v>374</v>
      </c>
      <c r="M59" s="132" t="s">
        <v>447</v>
      </c>
      <c r="N59" s="498"/>
    </row>
    <row r="60" spans="1:14" ht="16" x14ac:dyDescent="0.2">
      <c r="A60" s="40" t="s">
        <v>80</v>
      </c>
      <c r="B60" s="633">
        <f t="shared" si="0"/>
        <v>190.09</v>
      </c>
      <c r="C60" s="497">
        <f t="shared" si="2"/>
        <v>15903.839999999998</v>
      </c>
      <c r="D60" s="37"/>
      <c r="E60" s="131">
        <v>20241128</v>
      </c>
      <c r="F60" s="132"/>
      <c r="G60" s="132" t="s">
        <v>362</v>
      </c>
      <c r="H60" s="132"/>
      <c r="I60" s="132" t="s">
        <v>372</v>
      </c>
      <c r="J60" s="132" t="s">
        <v>373</v>
      </c>
      <c r="K60" s="132">
        <v>190.09</v>
      </c>
      <c r="L60" s="132" t="s">
        <v>374</v>
      </c>
      <c r="M60" s="132" t="s">
        <v>448</v>
      </c>
      <c r="N60" s="498"/>
    </row>
    <row r="61" spans="1:14" ht="16" x14ac:dyDescent="0.2">
      <c r="A61" s="40" t="s">
        <v>80</v>
      </c>
      <c r="B61" s="633">
        <f t="shared" si="0"/>
        <v>136.91999999999999</v>
      </c>
      <c r="C61" s="497">
        <f t="shared" si="2"/>
        <v>16040.759999999998</v>
      </c>
      <c r="D61" s="37"/>
      <c r="E61" s="131">
        <v>20241129</v>
      </c>
      <c r="F61" s="132"/>
      <c r="G61" s="132" t="s">
        <v>362</v>
      </c>
      <c r="H61" s="132"/>
      <c r="I61" s="132" t="s">
        <v>372</v>
      </c>
      <c r="J61" s="132" t="s">
        <v>373</v>
      </c>
      <c r="K61" s="132">
        <v>136.91999999999999</v>
      </c>
      <c r="L61" s="132" t="s">
        <v>374</v>
      </c>
      <c r="M61" s="132" t="s">
        <v>449</v>
      </c>
      <c r="N61" s="498"/>
    </row>
    <row r="62" spans="1:14" ht="16" x14ac:dyDescent="0.2">
      <c r="A62" s="40" t="s">
        <v>80</v>
      </c>
      <c r="B62" s="633">
        <f t="shared" si="0"/>
        <v>171.95</v>
      </c>
      <c r="C62" s="497">
        <f t="shared" si="2"/>
        <v>16212.71</v>
      </c>
      <c r="D62" s="37"/>
      <c r="E62" s="131">
        <v>20241202</v>
      </c>
      <c r="F62" s="132"/>
      <c r="G62" s="132" t="s">
        <v>362</v>
      </c>
      <c r="H62" s="132"/>
      <c r="I62" s="132" t="s">
        <v>372</v>
      </c>
      <c r="J62" s="132" t="s">
        <v>373</v>
      </c>
      <c r="K62" s="132">
        <v>171.95</v>
      </c>
      <c r="L62" s="132" t="s">
        <v>374</v>
      </c>
      <c r="M62" s="132" t="s">
        <v>450</v>
      </c>
      <c r="N62" s="498"/>
    </row>
    <row r="63" spans="1:14" ht="16" x14ac:dyDescent="0.2">
      <c r="A63" s="40" t="s">
        <v>80</v>
      </c>
      <c r="B63" s="633">
        <f t="shared" si="0"/>
        <v>34.729999999999997</v>
      </c>
      <c r="C63" s="497">
        <f t="shared" si="2"/>
        <v>16247.439999999999</v>
      </c>
      <c r="D63" s="37"/>
      <c r="E63" s="131">
        <v>20241202</v>
      </c>
      <c r="F63" s="132"/>
      <c r="G63" s="132" t="s">
        <v>362</v>
      </c>
      <c r="H63" s="132"/>
      <c r="I63" s="132" t="s">
        <v>372</v>
      </c>
      <c r="J63" s="132" t="s">
        <v>373</v>
      </c>
      <c r="K63" s="132">
        <v>34.729999999999997</v>
      </c>
      <c r="L63" s="132" t="s">
        <v>374</v>
      </c>
      <c r="M63" s="132" t="s">
        <v>451</v>
      </c>
      <c r="N63" s="498"/>
    </row>
    <row r="64" spans="1:14" ht="16" x14ac:dyDescent="0.2">
      <c r="A64" s="40" t="s">
        <v>80</v>
      </c>
      <c r="B64" s="633">
        <f t="shared" si="0"/>
        <v>142.77000000000001</v>
      </c>
      <c r="C64" s="497">
        <f t="shared" si="2"/>
        <v>16390.21</v>
      </c>
      <c r="D64" s="37"/>
      <c r="E64" s="131">
        <v>20241203</v>
      </c>
      <c r="F64" s="132"/>
      <c r="G64" s="132" t="s">
        <v>362</v>
      </c>
      <c r="H64" s="132"/>
      <c r="I64" s="132" t="s">
        <v>372</v>
      </c>
      <c r="J64" s="132" t="s">
        <v>373</v>
      </c>
      <c r="K64" s="132">
        <v>142.77000000000001</v>
      </c>
      <c r="L64" s="132" t="s">
        <v>374</v>
      </c>
      <c r="M64" s="132" t="s">
        <v>452</v>
      </c>
      <c r="N64" s="498"/>
    </row>
    <row r="65" spans="1:15" ht="16" x14ac:dyDescent="0.2">
      <c r="A65" s="40" t="s">
        <v>215</v>
      </c>
      <c r="B65" s="633">
        <f t="shared" si="0"/>
        <v>695.83</v>
      </c>
      <c r="C65" s="497">
        <f t="shared" si="2"/>
        <v>17086.04</v>
      </c>
      <c r="D65" s="37"/>
      <c r="E65" s="131">
        <v>20241203</v>
      </c>
      <c r="F65" s="132"/>
      <c r="G65" s="132" t="s">
        <v>362</v>
      </c>
      <c r="H65" s="132"/>
      <c r="I65" s="132" t="s">
        <v>372</v>
      </c>
      <c r="J65" s="132" t="s">
        <v>373</v>
      </c>
      <c r="K65" s="132">
        <v>695.83</v>
      </c>
      <c r="L65" s="132" t="s">
        <v>374</v>
      </c>
      <c r="M65" s="132" t="s">
        <v>453</v>
      </c>
      <c r="N65" s="498"/>
    </row>
    <row r="66" spans="1:15" ht="16" x14ac:dyDescent="0.2">
      <c r="A66" s="40" t="s">
        <v>215</v>
      </c>
      <c r="B66" s="633">
        <f t="shared" si="0"/>
        <v>407.31</v>
      </c>
      <c r="C66" s="497">
        <f t="shared" si="2"/>
        <v>17493.350000000002</v>
      </c>
      <c r="D66" s="37"/>
      <c r="E66" s="131">
        <v>20241203</v>
      </c>
      <c r="F66" s="132"/>
      <c r="G66" s="132" t="s">
        <v>362</v>
      </c>
      <c r="H66" s="132"/>
      <c r="I66" s="132" t="s">
        <v>372</v>
      </c>
      <c r="J66" s="132" t="s">
        <v>373</v>
      </c>
      <c r="K66" s="132">
        <v>407.31</v>
      </c>
      <c r="L66" s="132" t="s">
        <v>374</v>
      </c>
      <c r="M66" s="132" t="s">
        <v>454</v>
      </c>
      <c r="N66" s="498"/>
    </row>
    <row r="67" spans="1:15" ht="16" x14ac:dyDescent="0.2">
      <c r="A67" s="40" t="s">
        <v>289</v>
      </c>
      <c r="B67" s="633">
        <f t="shared" si="0"/>
        <v>-40</v>
      </c>
      <c r="C67" s="497">
        <f t="shared" si="2"/>
        <v>17453.350000000002</v>
      </c>
      <c r="D67" s="37"/>
      <c r="E67" s="131">
        <v>20241204</v>
      </c>
      <c r="F67" s="132"/>
      <c r="G67" s="132" t="s">
        <v>362</v>
      </c>
      <c r="H67" s="132"/>
      <c r="I67" s="132" t="s">
        <v>363</v>
      </c>
      <c r="J67" s="132" t="s">
        <v>364</v>
      </c>
      <c r="K67" s="132">
        <v>-40</v>
      </c>
      <c r="L67" s="132" t="s">
        <v>365</v>
      </c>
      <c r="M67" s="132" t="s">
        <v>455</v>
      </c>
      <c r="N67" s="498" t="s">
        <v>456</v>
      </c>
    </row>
    <row r="68" spans="1:15" ht="16" x14ac:dyDescent="0.2">
      <c r="A68" s="40" t="s">
        <v>214</v>
      </c>
      <c r="B68" s="633">
        <f t="shared" ref="B68:B131" si="3">K68</f>
        <v>-500</v>
      </c>
      <c r="C68" s="497">
        <f t="shared" ref="C68:C131" si="4">C67+B68</f>
        <v>16953.350000000002</v>
      </c>
      <c r="D68" s="37"/>
      <c r="E68" s="131">
        <v>20241204</v>
      </c>
      <c r="F68" s="132"/>
      <c r="G68" s="132" t="s">
        <v>362</v>
      </c>
      <c r="H68" s="132"/>
      <c r="I68" s="132" t="s">
        <v>363</v>
      </c>
      <c r="J68" s="132" t="s">
        <v>364</v>
      </c>
      <c r="K68" s="132">
        <v>-500</v>
      </c>
      <c r="L68" s="132" t="s">
        <v>365</v>
      </c>
      <c r="M68" s="132" t="s">
        <v>457</v>
      </c>
      <c r="N68" s="498" t="s">
        <v>458</v>
      </c>
    </row>
    <row r="69" spans="1:15" ht="16" x14ac:dyDescent="0.2">
      <c r="A69" s="40" t="s">
        <v>214</v>
      </c>
      <c r="B69" s="633">
        <f t="shared" si="3"/>
        <v>-1210</v>
      </c>
      <c r="C69" s="497">
        <f t="shared" si="4"/>
        <v>15743.350000000002</v>
      </c>
      <c r="D69" s="37"/>
      <c r="E69" s="131">
        <v>20241204</v>
      </c>
      <c r="F69" s="132"/>
      <c r="G69" s="132" t="s">
        <v>362</v>
      </c>
      <c r="H69" s="132"/>
      <c r="I69" s="132" t="s">
        <v>363</v>
      </c>
      <c r="J69" s="132" t="s">
        <v>364</v>
      </c>
      <c r="K69" s="132">
        <v>-1210</v>
      </c>
      <c r="L69" s="132" t="s">
        <v>365</v>
      </c>
      <c r="M69" s="132" t="s">
        <v>459</v>
      </c>
      <c r="N69" s="498" t="s">
        <v>460</v>
      </c>
    </row>
    <row r="70" spans="1:15" ht="16" x14ac:dyDescent="0.2">
      <c r="A70" s="40" t="s">
        <v>80</v>
      </c>
      <c r="B70" s="633">
        <f t="shared" si="3"/>
        <v>176.52</v>
      </c>
      <c r="C70" s="497">
        <f t="shared" si="4"/>
        <v>15919.870000000003</v>
      </c>
      <c r="D70" s="37"/>
      <c r="E70" s="131">
        <v>20241204</v>
      </c>
      <c r="F70" s="132"/>
      <c r="G70" s="132" t="s">
        <v>362</v>
      </c>
      <c r="H70" s="132"/>
      <c r="I70" s="132" t="s">
        <v>372</v>
      </c>
      <c r="J70" s="132" t="s">
        <v>373</v>
      </c>
      <c r="K70" s="132">
        <v>176.52</v>
      </c>
      <c r="L70" s="132" t="s">
        <v>374</v>
      </c>
      <c r="M70" s="132" t="s">
        <v>461</v>
      </c>
      <c r="N70" s="498"/>
    </row>
    <row r="71" spans="1:15" ht="16" x14ac:dyDescent="0.2">
      <c r="A71" s="40" t="s">
        <v>116</v>
      </c>
      <c r="B71" s="633">
        <f t="shared" si="3"/>
        <v>-125</v>
      </c>
      <c r="C71" s="497">
        <f t="shared" si="4"/>
        <v>15794.870000000003</v>
      </c>
      <c r="D71" s="37"/>
      <c r="E71" s="131">
        <v>20241204</v>
      </c>
      <c r="F71" s="132"/>
      <c r="G71" s="132" t="s">
        <v>362</v>
      </c>
      <c r="H71" s="132"/>
      <c r="I71" s="132" t="s">
        <v>363</v>
      </c>
      <c r="J71" s="132" t="s">
        <v>364</v>
      </c>
      <c r="K71" s="132">
        <v>-125</v>
      </c>
      <c r="L71" s="132" t="s">
        <v>365</v>
      </c>
      <c r="M71" s="132" t="s">
        <v>462</v>
      </c>
      <c r="N71" s="498" t="s">
        <v>463</v>
      </c>
    </row>
    <row r="72" spans="1:15" ht="16" x14ac:dyDescent="0.2">
      <c r="A72" s="40" t="s">
        <v>257</v>
      </c>
      <c r="B72" s="633">
        <f t="shared" si="3"/>
        <v>-276</v>
      </c>
      <c r="C72" s="497">
        <f t="shared" si="4"/>
        <v>15518.870000000003</v>
      </c>
      <c r="D72" s="37"/>
      <c r="E72" s="131">
        <v>20241204</v>
      </c>
      <c r="F72" s="132"/>
      <c r="G72" s="132" t="s">
        <v>362</v>
      </c>
      <c r="H72" s="132"/>
      <c r="I72" s="132" t="s">
        <v>363</v>
      </c>
      <c r="J72" s="132" t="s">
        <v>364</v>
      </c>
      <c r="K72" s="132">
        <v>-276</v>
      </c>
      <c r="L72" s="132" t="s">
        <v>365</v>
      </c>
      <c r="M72" s="132" t="s">
        <v>464</v>
      </c>
      <c r="N72" s="498" t="s">
        <v>465</v>
      </c>
    </row>
    <row r="73" spans="1:15" ht="16" x14ac:dyDescent="0.2">
      <c r="A73" s="40" t="s">
        <v>247</v>
      </c>
      <c r="B73" s="633">
        <f t="shared" si="3"/>
        <v>-20</v>
      </c>
      <c r="C73" s="497">
        <f t="shared" si="4"/>
        <v>15498.870000000003</v>
      </c>
      <c r="D73" s="37"/>
      <c r="E73" s="131">
        <v>20241204</v>
      </c>
      <c r="F73" s="132"/>
      <c r="G73" s="132" t="s">
        <v>362</v>
      </c>
      <c r="H73" s="132"/>
      <c r="I73" s="132" t="s">
        <v>363</v>
      </c>
      <c r="J73" s="132" t="s">
        <v>364</v>
      </c>
      <c r="K73" s="132">
        <v>-20</v>
      </c>
      <c r="L73" s="132" t="s">
        <v>365</v>
      </c>
      <c r="M73" s="132" t="s">
        <v>466</v>
      </c>
      <c r="N73" s="498" t="s">
        <v>467</v>
      </c>
    </row>
    <row r="74" spans="1:15" ht="16" x14ac:dyDescent="0.2">
      <c r="A74" s="40" t="s">
        <v>122</v>
      </c>
      <c r="B74" s="633">
        <f t="shared" si="3"/>
        <v>-54.44</v>
      </c>
      <c r="C74" s="497">
        <f t="shared" si="4"/>
        <v>15444.430000000002</v>
      </c>
      <c r="D74" s="37"/>
      <c r="E74" s="131">
        <v>20241204</v>
      </c>
      <c r="F74" s="132"/>
      <c r="G74" s="132" t="s">
        <v>362</v>
      </c>
      <c r="H74" s="132"/>
      <c r="I74" s="132" t="s">
        <v>363</v>
      </c>
      <c r="J74" s="132" t="s">
        <v>364</v>
      </c>
      <c r="K74" s="132">
        <v>-54.44</v>
      </c>
      <c r="L74" s="132" t="s">
        <v>365</v>
      </c>
      <c r="M74" s="132" t="s">
        <v>468</v>
      </c>
      <c r="N74" s="498" t="s">
        <v>469</v>
      </c>
    </row>
    <row r="75" spans="1:15" ht="16" x14ac:dyDescent="0.2">
      <c r="A75" s="40" t="s">
        <v>270</v>
      </c>
      <c r="B75" s="633">
        <f t="shared" si="3"/>
        <v>-2</v>
      </c>
      <c r="C75" s="497">
        <f t="shared" si="4"/>
        <v>15442.430000000002</v>
      </c>
      <c r="D75" s="37"/>
      <c r="E75" s="131">
        <v>20241204</v>
      </c>
      <c r="F75" s="132"/>
      <c r="G75" s="132" t="s">
        <v>362</v>
      </c>
      <c r="H75" s="132"/>
      <c r="I75" s="132" t="s">
        <v>363</v>
      </c>
      <c r="J75" s="132" t="s">
        <v>364</v>
      </c>
      <c r="K75" s="132">
        <v>-2</v>
      </c>
      <c r="L75" s="132" t="s">
        <v>365</v>
      </c>
      <c r="M75" s="132" t="s">
        <v>471</v>
      </c>
      <c r="N75" s="498" t="s">
        <v>472</v>
      </c>
      <c r="O75" s="132" t="s">
        <v>473</v>
      </c>
    </row>
    <row r="76" spans="1:15" ht="16" x14ac:dyDescent="0.2">
      <c r="A76" s="40" t="s">
        <v>270</v>
      </c>
      <c r="B76" s="633">
        <f t="shared" si="3"/>
        <v>-2</v>
      </c>
      <c r="C76" s="497">
        <f t="shared" si="4"/>
        <v>15440.430000000002</v>
      </c>
      <c r="D76" s="37"/>
      <c r="E76" s="131">
        <v>20241204</v>
      </c>
      <c r="F76" s="132"/>
      <c r="G76" s="132" t="s">
        <v>362</v>
      </c>
      <c r="H76" s="132"/>
      <c r="I76" s="132" t="s">
        <v>363</v>
      </c>
      <c r="J76" s="132" t="s">
        <v>364</v>
      </c>
      <c r="K76" s="132">
        <v>-2</v>
      </c>
      <c r="L76" s="132" t="s">
        <v>365</v>
      </c>
      <c r="M76" s="132" t="s">
        <v>474</v>
      </c>
      <c r="N76" s="498" t="s">
        <v>475</v>
      </c>
      <c r="O76" s="132" t="s">
        <v>473</v>
      </c>
    </row>
    <row r="77" spans="1:15" ht="16" x14ac:dyDescent="0.2">
      <c r="A77" s="40" t="s">
        <v>269</v>
      </c>
      <c r="B77" s="633">
        <f t="shared" si="3"/>
        <v>-388.8</v>
      </c>
      <c r="C77" s="497">
        <f t="shared" si="4"/>
        <v>15051.630000000003</v>
      </c>
      <c r="D77" s="37"/>
      <c r="E77" s="131">
        <v>20241204</v>
      </c>
      <c r="F77" s="132"/>
      <c r="G77" s="132" t="s">
        <v>362</v>
      </c>
      <c r="H77" s="132"/>
      <c r="I77" s="132" t="s">
        <v>363</v>
      </c>
      <c r="J77" s="132" t="s">
        <v>364</v>
      </c>
      <c r="K77" s="132">
        <v>-388.8</v>
      </c>
      <c r="L77" s="132" t="s">
        <v>365</v>
      </c>
      <c r="M77" s="132" t="s">
        <v>476</v>
      </c>
      <c r="N77" s="498" t="s">
        <v>477</v>
      </c>
    </row>
    <row r="78" spans="1:15" ht="16" x14ac:dyDescent="0.2">
      <c r="A78" s="40" t="s">
        <v>202</v>
      </c>
      <c r="B78" s="633">
        <f t="shared" si="3"/>
        <v>-46.14</v>
      </c>
      <c r="C78" s="497">
        <f t="shared" si="4"/>
        <v>15005.490000000003</v>
      </c>
      <c r="D78" s="37"/>
      <c r="E78" s="131">
        <v>20241204</v>
      </c>
      <c r="F78" s="132"/>
      <c r="G78" s="132" t="s">
        <v>362</v>
      </c>
      <c r="H78" s="132"/>
      <c r="I78" s="132" t="s">
        <v>363</v>
      </c>
      <c r="J78" s="132" t="s">
        <v>364</v>
      </c>
      <c r="K78" s="132">
        <v>-46.14</v>
      </c>
      <c r="L78" s="132" t="s">
        <v>365</v>
      </c>
      <c r="M78" s="132" t="s">
        <v>478</v>
      </c>
      <c r="N78" s="276" t="s">
        <v>479</v>
      </c>
    </row>
    <row r="79" spans="1:15" ht="16" x14ac:dyDescent="0.2">
      <c r="A79" s="40" t="s">
        <v>122</v>
      </c>
      <c r="B79" s="633">
        <f t="shared" si="3"/>
        <v>-51</v>
      </c>
      <c r="C79" s="497">
        <f t="shared" si="4"/>
        <v>14954.490000000003</v>
      </c>
      <c r="D79" s="37"/>
      <c r="E79" s="131">
        <v>20241204</v>
      </c>
      <c r="F79" s="132"/>
      <c r="G79" s="132" t="s">
        <v>362</v>
      </c>
      <c r="H79" s="132"/>
      <c r="I79" s="132" t="s">
        <v>363</v>
      </c>
      <c r="J79" s="132" t="s">
        <v>364</v>
      </c>
      <c r="K79" s="132">
        <v>-51</v>
      </c>
      <c r="L79" s="132" t="s">
        <v>365</v>
      </c>
      <c r="M79" s="132" t="s">
        <v>480</v>
      </c>
      <c r="N79" s="498" t="s">
        <v>481</v>
      </c>
    </row>
    <row r="80" spans="1:15" ht="16" x14ac:dyDescent="0.2">
      <c r="A80" s="40" t="s">
        <v>122</v>
      </c>
      <c r="B80" s="633">
        <f t="shared" si="3"/>
        <v>-107.95</v>
      </c>
      <c r="C80" s="497">
        <f t="shared" si="4"/>
        <v>14846.540000000003</v>
      </c>
      <c r="D80" s="37"/>
      <c r="E80" s="131">
        <v>20241204</v>
      </c>
      <c r="F80" s="132"/>
      <c r="G80" s="132" t="s">
        <v>362</v>
      </c>
      <c r="H80" s="132"/>
      <c r="I80" s="132" t="s">
        <v>363</v>
      </c>
      <c r="J80" s="132" t="s">
        <v>364</v>
      </c>
      <c r="K80" s="132">
        <v>-107.95</v>
      </c>
      <c r="L80" s="132" t="s">
        <v>365</v>
      </c>
      <c r="M80" s="132" t="s">
        <v>468</v>
      </c>
      <c r="N80" s="498" t="s">
        <v>482</v>
      </c>
    </row>
    <row r="81" spans="1:14" ht="16" x14ac:dyDescent="0.2">
      <c r="A81" s="40" t="s">
        <v>122</v>
      </c>
      <c r="B81" s="633">
        <f t="shared" si="3"/>
        <v>-31.68</v>
      </c>
      <c r="C81" s="497">
        <f t="shared" si="4"/>
        <v>14814.860000000002</v>
      </c>
      <c r="D81" s="37"/>
      <c r="E81" s="131">
        <v>20241204</v>
      </c>
      <c r="F81" s="132"/>
      <c r="G81" s="132" t="s">
        <v>362</v>
      </c>
      <c r="H81" s="132"/>
      <c r="I81" s="132" t="s">
        <v>363</v>
      </c>
      <c r="J81" s="132" t="s">
        <v>364</v>
      </c>
      <c r="K81" s="132">
        <v>-31.68</v>
      </c>
      <c r="L81" s="132" t="s">
        <v>365</v>
      </c>
      <c r="M81" s="132" t="s">
        <v>468</v>
      </c>
      <c r="N81" s="498" t="s">
        <v>483</v>
      </c>
    </row>
    <row r="82" spans="1:14" ht="16" x14ac:dyDescent="0.2">
      <c r="A82" s="40" t="s">
        <v>122</v>
      </c>
      <c r="B82" s="633">
        <f t="shared" si="3"/>
        <v>-64.400000000000006</v>
      </c>
      <c r="C82" s="497">
        <f t="shared" si="4"/>
        <v>14750.460000000003</v>
      </c>
      <c r="D82" s="37"/>
      <c r="E82" s="131">
        <v>20241204</v>
      </c>
      <c r="F82" s="132"/>
      <c r="G82" s="132" t="s">
        <v>362</v>
      </c>
      <c r="H82" s="132"/>
      <c r="I82" s="132" t="s">
        <v>363</v>
      </c>
      <c r="J82" s="132" t="s">
        <v>364</v>
      </c>
      <c r="K82" s="132">
        <v>-64.400000000000006</v>
      </c>
      <c r="L82" s="132" t="s">
        <v>365</v>
      </c>
      <c r="M82" s="132" t="s">
        <v>484</v>
      </c>
      <c r="N82" s="498" t="s">
        <v>485</v>
      </c>
    </row>
    <row r="83" spans="1:14" ht="16" x14ac:dyDescent="0.2">
      <c r="A83" s="40" t="s">
        <v>122</v>
      </c>
      <c r="B83" s="633">
        <f t="shared" si="3"/>
        <v>-174.93</v>
      </c>
      <c r="C83" s="497">
        <f t="shared" si="4"/>
        <v>14575.530000000002</v>
      </c>
      <c r="D83" s="37"/>
      <c r="E83" s="131">
        <v>20241204</v>
      </c>
      <c r="F83" s="132"/>
      <c r="G83" s="132" t="s">
        <v>362</v>
      </c>
      <c r="H83" s="132"/>
      <c r="I83" s="132" t="s">
        <v>363</v>
      </c>
      <c r="J83" s="132" t="s">
        <v>364</v>
      </c>
      <c r="K83" s="132">
        <v>-174.93</v>
      </c>
      <c r="L83" s="132" t="s">
        <v>365</v>
      </c>
      <c r="M83" s="132" t="s">
        <v>486</v>
      </c>
      <c r="N83" s="498" t="s">
        <v>487</v>
      </c>
    </row>
    <row r="84" spans="1:14" ht="16" x14ac:dyDescent="0.2">
      <c r="A84" s="40" t="s">
        <v>122</v>
      </c>
      <c r="B84" s="633">
        <f t="shared" si="3"/>
        <v>-21</v>
      </c>
      <c r="C84" s="497">
        <f t="shared" si="4"/>
        <v>14554.530000000002</v>
      </c>
      <c r="D84" s="37"/>
      <c r="E84" s="131">
        <v>20241204</v>
      </c>
      <c r="F84" s="132"/>
      <c r="G84" s="132" t="s">
        <v>362</v>
      </c>
      <c r="H84" s="132"/>
      <c r="I84" s="132" t="s">
        <v>363</v>
      </c>
      <c r="J84" s="132" t="s">
        <v>364</v>
      </c>
      <c r="K84" s="132">
        <v>-21</v>
      </c>
      <c r="L84" s="132" t="s">
        <v>365</v>
      </c>
      <c r="M84" s="132" t="s">
        <v>488</v>
      </c>
      <c r="N84" s="498" t="s">
        <v>489</v>
      </c>
    </row>
    <row r="85" spans="1:14" ht="16" x14ac:dyDescent="0.2">
      <c r="A85" s="40" t="s">
        <v>166</v>
      </c>
      <c r="B85" s="633">
        <f t="shared" si="3"/>
        <v>-15.27</v>
      </c>
      <c r="C85" s="497">
        <f t="shared" si="4"/>
        <v>14539.260000000002</v>
      </c>
      <c r="D85" s="37"/>
      <c r="E85" s="131">
        <v>20241204</v>
      </c>
      <c r="F85" s="132"/>
      <c r="G85" s="132" t="s">
        <v>362</v>
      </c>
      <c r="H85" s="132"/>
      <c r="I85" s="132" t="s">
        <v>363</v>
      </c>
      <c r="J85" s="132" t="s">
        <v>364</v>
      </c>
      <c r="K85" s="132">
        <v>-15.27</v>
      </c>
      <c r="L85" s="132" t="s">
        <v>365</v>
      </c>
      <c r="M85" s="132" t="s">
        <v>490</v>
      </c>
      <c r="N85" s="498" t="s">
        <v>491</v>
      </c>
    </row>
    <row r="86" spans="1:14" ht="16" x14ac:dyDescent="0.2">
      <c r="A86" s="40" t="s">
        <v>122</v>
      </c>
      <c r="B86" s="633">
        <f t="shared" si="3"/>
        <v>-159.41999999999999</v>
      </c>
      <c r="C86" s="497">
        <f t="shared" si="4"/>
        <v>14379.840000000002</v>
      </c>
      <c r="D86" s="37"/>
      <c r="E86" s="131">
        <v>20241204</v>
      </c>
      <c r="F86" s="132"/>
      <c r="G86" s="132" t="s">
        <v>362</v>
      </c>
      <c r="H86" s="132"/>
      <c r="I86" s="132" t="s">
        <v>363</v>
      </c>
      <c r="J86" s="132" t="s">
        <v>364</v>
      </c>
      <c r="K86" s="132">
        <v>-159.41999999999999</v>
      </c>
      <c r="L86" s="132" t="s">
        <v>365</v>
      </c>
      <c r="M86" s="132" t="s">
        <v>486</v>
      </c>
      <c r="N86" s="498" t="s">
        <v>492</v>
      </c>
    </row>
    <row r="87" spans="1:14" ht="16" x14ac:dyDescent="0.2">
      <c r="A87" s="40" t="s">
        <v>80</v>
      </c>
      <c r="B87" s="633">
        <f t="shared" si="3"/>
        <v>248.18</v>
      </c>
      <c r="C87" s="497">
        <f t="shared" si="4"/>
        <v>14628.020000000002</v>
      </c>
      <c r="D87" s="37"/>
      <c r="E87" s="131">
        <v>20241205</v>
      </c>
      <c r="F87" s="132"/>
      <c r="G87" s="132" t="s">
        <v>362</v>
      </c>
      <c r="H87" s="132"/>
      <c r="I87" s="132" t="s">
        <v>372</v>
      </c>
      <c r="J87" s="132" t="s">
        <v>373</v>
      </c>
      <c r="K87" s="132">
        <v>248.18</v>
      </c>
      <c r="L87" s="132" t="s">
        <v>374</v>
      </c>
      <c r="M87" s="132" t="s">
        <v>493</v>
      </c>
      <c r="N87" s="498"/>
    </row>
    <row r="88" spans="1:14" ht="16" x14ac:dyDescent="0.2">
      <c r="A88" s="40" t="s">
        <v>80</v>
      </c>
      <c r="B88" s="633">
        <f t="shared" si="3"/>
        <v>10.75</v>
      </c>
      <c r="C88" s="497">
        <f t="shared" si="4"/>
        <v>14638.770000000002</v>
      </c>
      <c r="D88" s="37"/>
      <c r="E88" s="131">
        <v>20241206</v>
      </c>
      <c r="F88" s="132"/>
      <c r="G88" s="132" t="s">
        <v>362</v>
      </c>
      <c r="H88" s="132"/>
      <c r="I88" s="132" t="s">
        <v>372</v>
      </c>
      <c r="J88" s="132" t="s">
        <v>373</v>
      </c>
      <c r="K88" s="132">
        <v>10.75</v>
      </c>
      <c r="L88" s="132" t="s">
        <v>374</v>
      </c>
      <c r="M88" s="132" t="s">
        <v>494</v>
      </c>
    </row>
    <row r="89" spans="1:14" ht="16" x14ac:dyDescent="0.2">
      <c r="A89" s="40" t="s">
        <v>80</v>
      </c>
      <c r="B89" s="633">
        <f t="shared" si="3"/>
        <v>27.3</v>
      </c>
      <c r="C89" s="497">
        <f t="shared" si="4"/>
        <v>14666.070000000002</v>
      </c>
      <c r="D89" s="37"/>
      <c r="E89" s="131">
        <v>20241209</v>
      </c>
      <c r="F89" s="132"/>
      <c r="G89" s="132" t="s">
        <v>362</v>
      </c>
      <c r="H89" s="132"/>
      <c r="I89" s="132" t="s">
        <v>372</v>
      </c>
      <c r="J89" s="132" t="s">
        <v>373</v>
      </c>
      <c r="K89" s="132">
        <v>27.3</v>
      </c>
      <c r="L89" s="132" t="s">
        <v>374</v>
      </c>
      <c r="M89" s="132" t="s">
        <v>495</v>
      </c>
    </row>
    <row r="90" spans="1:14" ht="16" x14ac:dyDescent="0.2">
      <c r="A90" s="40" t="s">
        <v>80</v>
      </c>
      <c r="B90" s="633">
        <f t="shared" si="3"/>
        <v>75.95</v>
      </c>
      <c r="C90" s="497">
        <f t="shared" si="4"/>
        <v>14742.020000000002</v>
      </c>
      <c r="D90" s="37"/>
      <c r="E90" s="131">
        <v>20241209</v>
      </c>
      <c r="F90" s="132"/>
      <c r="G90" s="132" t="s">
        <v>362</v>
      </c>
      <c r="H90" s="132"/>
      <c r="I90" s="132" t="s">
        <v>372</v>
      </c>
      <c r="J90" s="132" t="s">
        <v>373</v>
      </c>
      <c r="K90" s="132">
        <v>75.95</v>
      </c>
      <c r="L90" s="132" t="s">
        <v>374</v>
      </c>
      <c r="M90" s="132" t="s">
        <v>496</v>
      </c>
    </row>
    <row r="91" spans="1:14" ht="16" x14ac:dyDescent="0.2">
      <c r="A91" s="40" t="s">
        <v>304</v>
      </c>
      <c r="B91" s="633">
        <f t="shared" si="3"/>
        <v>-3900</v>
      </c>
      <c r="C91" s="497">
        <f t="shared" si="4"/>
        <v>10842.020000000002</v>
      </c>
      <c r="D91" s="37"/>
      <c r="E91" s="131">
        <v>20241209</v>
      </c>
      <c r="F91" s="132"/>
      <c r="G91" s="132" t="s">
        <v>362</v>
      </c>
      <c r="H91" s="132"/>
      <c r="I91" s="132" t="s">
        <v>363</v>
      </c>
      <c r="J91" s="132" t="s">
        <v>364</v>
      </c>
      <c r="K91" s="132">
        <v>-3900</v>
      </c>
      <c r="L91" s="132" t="s">
        <v>365</v>
      </c>
      <c r="M91" s="132" t="s">
        <v>497</v>
      </c>
      <c r="N91" s="498" t="s">
        <v>498</v>
      </c>
    </row>
    <row r="92" spans="1:14" ht="16" x14ac:dyDescent="0.2">
      <c r="A92" s="40" t="s">
        <v>149</v>
      </c>
      <c r="B92" s="633">
        <f t="shared" si="3"/>
        <v>-240</v>
      </c>
      <c r="C92" s="497">
        <f t="shared" si="4"/>
        <v>10602.020000000002</v>
      </c>
      <c r="D92" s="37"/>
      <c r="E92" s="131">
        <v>20241209</v>
      </c>
      <c r="F92" s="132"/>
      <c r="G92" s="132" t="s">
        <v>362</v>
      </c>
      <c r="H92" s="132"/>
      <c r="I92" s="132" t="s">
        <v>363</v>
      </c>
      <c r="J92" s="132" t="s">
        <v>364</v>
      </c>
      <c r="K92" s="132">
        <v>-240</v>
      </c>
      <c r="L92" s="132" t="s">
        <v>365</v>
      </c>
      <c r="M92" s="132" t="s">
        <v>499</v>
      </c>
      <c r="N92" s="498" t="s">
        <v>500</v>
      </c>
    </row>
    <row r="93" spans="1:14" ht="16" x14ac:dyDescent="0.2">
      <c r="A93" s="40" t="s">
        <v>92</v>
      </c>
      <c r="B93" s="633">
        <f t="shared" si="3"/>
        <v>-116.31</v>
      </c>
      <c r="C93" s="497">
        <f t="shared" si="4"/>
        <v>10485.710000000003</v>
      </c>
      <c r="D93" s="37"/>
      <c r="E93" s="131">
        <v>20241209</v>
      </c>
      <c r="F93" s="132"/>
      <c r="G93" s="132" t="s">
        <v>362</v>
      </c>
      <c r="H93" s="132"/>
      <c r="I93" s="132" t="s">
        <v>363</v>
      </c>
      <c r="J93" s="132" t="s">
        <v>364</v>
      </c>
      <c r="K93" s="132">
        <v>-116.31</v>
      </c>
      <c r="L93" s="132" t="s">
        <v>365</v>
      </c>
      <c r="M93" s="132" t="s">
        <v>501</v>
      </c>
      <c r="N93" s="498" t="s">
        <v>502</v>
      </c>
    </row>
    <row r="94" spans="1:14" ht="16" x14ac:dyDescent="0.2">
      <c r="A94" s="40" t="s">
        <v>217</v>
      </c>
      <c r="B94" s="633">
        <f t="shared" si="3"/>
        <v>-150</v>
      </c>
      <c r="C94" s="497">
        <f t="shared" si="4"/>
        <v>10335.710000000003</v>
      </c>
      <c r="D94" s="37"/>
      <c r="E94" s="131">
        <v>20241209</v>
      </c>
      <c r="F94" s="132"/>
      <c r="G94" s="132" t="s">
        <v>362</v>
      </c>
      <c r="H94" s="132"/>
      <c r="I94" s="132" t="s">
        <v>363</v>
      </c>
      <c r="J94" s="132" t="s">
        <v>364</v>
      </c>
      <c r="K94" s="132">
        <v>-150</v>
      </c>
      <c r="L94" s="132" t="s">
        <v>365</v>
      </c>
      <c r="M94" s="132" t="s">
        <v>503</v>
      </c>
      <c r="N94" s="498" t="s">
        <v>504</v>
      </c>
    </row>
    <row r="95" spans="1:14" ht="16" x14ac:dyDescent="0.2">
      <c r="A95" s="40" t="s">
        <v>505</v>
      </c>
      <c r="B95" s="633">
        <f t="shared" si="3"/>
        <v>-98.94</v>
      </c>
      <c r="C95" s="497">
        <f t="shared" si="4"/>
        <v>10236.770000000002</v>
      </c>
      <c r="D95" s="37"/>
      <c r="E95" s="131">
        <v>20241209</v>
      </c>
      <c r="F95" s="132"/>
      <c r="G95" s="132" t="s">
        <v>362</v>
      </c>
      <c r="H95" s="132"/>
      <c r="I95" s="132" t="s">
        <v>363</v>
      </c>
      <c r="J95" s="132" t="s">
        <v>364</v>
      </c>
      <c r="K95" s="132">
        <v>-98.94</v>
      </c>
      <c r="L95" s="132" t="s">
        <v>365</v>
      </c>
      <c r="M95" s="132" t="s">
        <v>506</v>
      </c>
      <c r="N95" s="498" t="s">
        <v>507</v>
      </c>
    </row>
    <row r="96" spans="1:14" ht="16" x14ac:dyDescent="0.2">
      <c r="A96" s="40" t="s">
        <v>505</v>
      </c>
      <c r="B96" s="633">
        <f t="shared" si="3"/>
        <v>-11.57</v>
      </c>
      <c r="C96" s="497">
        <f t="shared" si="4"/>
        <v>10225.200000000003</v>
      </c>
      <c r="D96" s="37"/>
      <c r="E96" s="131">
        <v>20241209</v>
      </c>
      <c r="F96" s="132"/>
      <c r="G96" s="132" t="s">
        <v>362</v>
      </c>
      <c r="H96" s="132"/>
      <c r="I96" s="132" t="s">
        <v>363</v>
      </c>
      <c r="J96" s="132" t="s">
        <v>364</v>
      </c>
      <c r="K96" s="132">
        <v>-11.57</v>
      </c>
      <c r="L96" s="132" t="s">
        <v>365</v>
      </c>
      <c r="M96" s="132" t="s">
        <v>506</v>
      </c>
      <c r="N96" s="498" t="s">
        <v>508</v>
      </c>
    </row>
    <row r="97" spans="1:15" ht="16" x14ac:dyDescent="0.2">
      <c r="A97" s="40" t="s">
        <v>217</v>
      </c>
      <c r="B97" s="633">
        <f t="shared" si="3"/>
        <v>-13.99</v>
      </c>
      <c r="C97" s="497">
        <f t="shared" si="4"/>
        <v>10211.210000000003</v>
      </c>
      <c r="D97" s="37"/>
      <c r="E97" s="131">
        <v>20241209</v>
      </c>
      <c r="F97" s="132"/>
      <c r="G97" s="132" t="s">
        <v>362</v>
      </c>
      <c r="H97" s="132"/>
      <c r="I97" s="132" t="s">
        <v>363</v>
      </c>
      <c r="J97" s="132" t="s">
        <v>364</v>
      </c>
      <c r="K97" s="132">
        <v>-13.99</v>
      </c>
      <c r="L97" s="132" t="s">
        <v>365</v>
      </c>
      <c r="M97" s="132" t="s">
        <v>509</v>
      </c>
      <c r="N97" s="498" t="s">
        <v>510</v>
      </c>
    </row>
    <row r="98" spans="1:15" ht="16" x14ac:dyDescent="0.2">
      <c r="A98" s="40" t="s">
        <v>94</v>
      </c>
      <c r="B98" s="633">
        <f t="shared" si="3"/>
        <v>-30.23</v>
      </c>
      <c r="C98" s="497">
        <f t="shared" si="4"/>
        <v>10180.980000000003</v>
      </c>
      <c r="D98" s="37"/>
      <c r="E98" s="131">
        <v>20241209</v>
      </c>
      <c r="F98" s="132"/>
      <c r="G98" s="132" t="s">
        <v>362</v>
      </c>
      <c r="H98" s="132"/>
      <c r="I98" s="132" t="s">
        <v>368</v>
      </c>
      <c r="J98" s="132" t="s">
        <v>364</v>
      </c>
      <c r="K98" s="132">
        <v>-30.23</v>
      </c>
      <c r="L98" s="132" t="s">
        <v>369</v>
      </c>
      <c r="M98" s="132" t="s">
        <v>511</v>
      </c>
      <c r="O98" t="s">
        <v>411</v>
      </c>
    </row>
    <row r="99" spans="1:15" ht="16" x14ac:dyDescent="0.2">
      <c r="A99" s="40" t="s">
        <v>80</v>
      </c>
      <c r="B99" s="633">
        <f t="shared" si="3"/>
        <v>14.8</v>
      </c>
      <c r="C99" s="497">
        <f t="shared" si="4"/>
        <v>10195.780000000002</v>
      </c>
      <c r="D99" s="37"/>
      <c r="E99" s="131">
        <v>20241210</v>
      </c>
      <c r="F99" s="132"/>
      <c r="G99" s="132" t="s">
        <v>362</v>
      </c>
      <c r="H99" s="132"/>
      <c r="I99" s="132" t="s">
        <v>372</v>
      </c>
      <c r="J99" s="132" t="s">
        <v>373</v>
      </c>
      <c r="K99" s="132">
        <v>14.8</v>
      </c>
      <c r="L99" s="132" t="s">
        <v>374</v>
      </c>
      <c r="M99" s="132" t="s">
        <v>512</v>
      </c>
    </row>
    <row r="100" spans="1:15" ht="16" x14ac:dyDescent="0.2">
      <c r="A100" s="40" t="s">
        <v>80</v>
      </c>
      <c r="B100" s="633">
        <f t="shared" si="3"/>
        <v>10.34</v>
      </c>
      <c r="C100" s="497">
        <f t="shared" si="4"/>
        <v>10206.120000000003</v>
      </c>
      <c r="D100" s="37"/>
      <c r="E100" s="131">
        <v>20241211</v>
      </c>
      <c r="F100" s="132"/>
      <c r="G100" s="132" t="s">
        <v>362</v>
      </c>
      <c r="H100" s="132"/>
      <c r="I100" s="132" t="s">
        <v>372</v>
      </c>
      <c r="J100" s="132" t="s">
        <v>373</v>
      </c>
      <c r="K100" s="132">
        <v>10.34</v>
      </c>
      <c r="L100" s="132" t="s">
        <v>374</v>
      </c>
      <c r="M100" s="132" t="s">
        <v>513</v>
      </c>
      <c r="N100" s="498"/>
    </row>
    <row r="101" spans="1:15" ht="16" x14ac:dyDescent="0.2">
      <c r="A101" s="40" t="s">
        <v>103</v>
      </c>
      <c r="B101" s="633">
        <f t="shared" si="3"/>
        <v>-30.25</v>
      </c>
      <c r="C101" s="497">
        <f t="shared" si="4"/>
        <v>10175.870000000003</v>
      </c>
      <c r="D101" s="37"/>
      <c r="E101" s="131">
        <v>20241216</v>
      </c>
      <c r="F101" s="132"/>
      <c r="G101" s="132" t="s">
        <v>362</v>
      </c>
      <c r="H101" s="132"/>
      <c r="I101" s="132" t="s">
        <v>368</v>
      </c>
      <c r="J101" s="132" t="s">
        <v>364</v>
      </c>
      <c r="K101" s="132">
        <v>-30.25</v>
      </c>
      <c r="L101" s="132" t="s">
        <v>369</v>
      </c>
      <c r="M101" s="132" t="s">
        <v>514</v>
      </c>
      <c r="N101" s="498"/>
    </row>
    <row r="102" spans="1:15" ht="16" x14ac:dyDescent="0.2">
      <c r="A102" s="40" t="s">
        <v>110</v>
      </c>
      <c r="B102" s="633">
        <f t="shared" si="3"/>
        <v>-25.41</v>
      </c>
      <c r="C102" s="497">
        <f t="shared" si="4"/>
        <v>10150.460000000003</v>
      </c>
      <c r="D102" s="37"/>
      <c r="E102" s="131">
        <v>20241217</v>
      </c>
      <c r="F102" s="498"/>
      <c r="G102" s="132" t="s">
        <v>362</v>
      </c>
      <c r="H102" s="132"/>
      <c r="I102" s="132" t="s">
        <v>368</v>
      </c>
      <c r="J102" s="132" t="s">
        <v>364</v>
      </c>
      <c r="K102" s="132">
        <v>-25.41</v>
      </c>
      <c r="L102" s="132" t="s">
        <v>369</v>
      </c>
      <c r="M102" s="132" t="s">
        <v>515</v>
      </c>
      <c r="N102" s="498"/>
    </row>
    <row r="103" spans="1:15" ht="16" x14ac:dyDescent="0.2">
      <c r="A103" s="40" t="s">
        <v>100</v>
      </c>
      <c r="B103" s="633">
        <f t="shared" si="3"/>
        <v>-37.01</v>
      </c>
      <c r="C103" s="497">
        <f t="shared" si="4"/>
        <v>10113.450000000003</v>
      </c>
      <c r="D103" s="37"/>
      <c r="E103" s="131">
        <v>20241226</v>
      </c>
      <c r="F103" s="132"/>
      <c r="G103" s="132" t="s">
        <v>362</v>
      </c>
      <c r="H103" s="133"/>
      <c r="I103" s="132" t="s">
        <v>382</v>
      </c>
      <c r="J103" s="132" t="s">
        <v>364</v>
      </c>
      <c r="K103" s="132">
        <v>-37.01</v>
      </c>
      <c r="L103" s="132" t="s">
        <v>383</v>
      </c>
      <c r="M103" s="132" t="s">
        <v>516</v>
      </c>
      <c r="N103" s="498"/>
    </row>
    <row r="104" spans="1:15" ht="16" x14ac:dyDescent="0.2">
      <c r="A104" s="40" t="s">
        <v>80</v>
      </c>
      <c r="B104" s="633">
        <f t="shared" si="3"/>
        <v>12.52</v>
      </c>
      <c r="C104" s="497">
        <f t="shared" si="4"/>
        <v>10125.970000000003</v>
      </c>
      <c r="D104" s="37"/>
      <c r="E104" s="131">
        <v>20250106</v>
      </c>
      <c r="F104" s="132"/>
      <c r="G104" s="132" t="s">
        <v>362</v>
      </c>
      <c r="H104" s="132"/>
      <c r="I104" s="132" t="s">
        <v>372</v>
      </c>
      <c r="J104" s="132" t="s">
        <v>373</v>
      </c>
      <c r="K104" s="132">
        <v>12.52</v>
      </c>
      <c r="L104" s="132" t="s">
        <v>374</v>
      </c>
      <c r="M104" s="132" t="s">
        <v>517</v>
      </c>
      <c r="N104" s="498"/>
    </row>
    <row r="105" spans="1:15" ht="16" x14ac:dyDescent="0.2">
      <c r="A105" s="40" t="s">
        <v>80</v>
      </c>
      <c r="B105" s="633">
        <f t="shared" si="3"/>
        <v>37.380000000000003</v>
      </c>
      <c r="C105" s="497">
        <f t="shared" si="4"/>
        <v>10163.350000000002</v>
      </c>
      <c r="D105" s="37"/>
      <c r="E105" s="131">
        <v>20250107</v>
      </c>
      <c r="F105" s="132"/>
      <c r="G105" s="132" t="s">
        <v>362</v>
      </c>
      <c r="H105" s="132"/>
      <c r="I105" s="132" t="s">
        <v>372</v>
      </c>
      <c r="J105" s="132" t="s">
        <v>373</v>
      </c>
      <c r="K105" s="132">
        <v>37.380000000000003</v>
      </c>
      <c r="L105" s="132" t="s">
        <v>374</v>
      </c>
      <c r="M105" s="132" t="s">
        <v>518</v>
      </c>
      <c r="N105" s="498"/>
    </row>
    <row r="106" spans="1:15" ht="16" x14ac:dyDescent="0.2">
      <c r="A106" s="40" t="s">
        <v>80</v>
      </c>
      <c r="B106" s="633">
        <f t="shared" si="3"/>
        <v>54.09</v>
      </c>
      <c r="C106" s="497">
        <f t="shared" si="4"/>
        <v>10217.440000000002</v>
      </c>
      <c r="D106" s="37"/>
      <c r="E106" s="131">
        <v>20250108</v>
      </c>
      <c r="F106" s="132"/>
      <c r="G106" s="132" t="s">
        <v>362</v>
      </c>
      <c r="H106" s="132"/>
      <c r="I106" s="132" t="s">
        <v>372</v>
      </c>
      <c r="J106" s="132" t="s">
        <v>373</v>
      </c>
      <c r="K106" s="132">
        <v>54.09</v>
      </c>
      <c r="L106" s="132" t="s">
        <v>374</v>
      </c>
      <c r="M106" s="132" t="s">
        <v>519</v>
      </c>
      <c r="N106" s="498"/>
    </row>
    <row r="107" spans="1:15" ht="16" x14ac:dyDescent="0.2">
      <c r="A107" s="40" t="s">
        <v>94</v>
      </c>
      <c r="B107" s="633">
        <f t="shared" si="3"/>
        <v>-18.14</v>
      </c>
      <c r="C107" s="497">
        <f t="shared" si="4"/>
        <v>10199.300000000003</v>
      </c>
      <c r="D107" s="37"/>
      <c r="E107" s="131">
        <v>20250108</v>
      </c>
      <c r="F107" s="132"/>
      <c r="G107" s="132" t="s">
        <v>362</v>
      </c>
      <c r="H107" s="132"/>
      <c r="I107" s="132" t="s">
        <v>368</v>
      </c>
      <c r="J107" s="132" t="s">
        <v>364</v>
      </c>
      <c r="K107" s="132">
        <v>-18.14</v>
      </c>
      <c r="L107" s="132" t="s">
        <v>369</v>
      </c>
      <c r="M107" s="132" t="s">
        <v>520</v>
      </c>
      <c r="N107" s="498"/>
      <c r="O107" t="s">
        <v>411</v>
      </c>
    </row>
    <row r="108" spans="1:15" ht="16" x14ac:dyDescent="0.2">
      <c r="A108" s="40" t="s">
        <v>80</v>
      </c>
      <c r="B108" s="633">
        <f t="shared" si="3"/>
        <v>73.599999999999994</v>
      </c>
      <c r="C108" s="497">
        <f t="shared" si="4"/>
        <v>10272.900000000003</v>
      </c>
      <c r="D108" s="37"/>
      <c r="E108" s="131">
        <v>20250109</v>
      </c>
      <c r="F108" s="132"/>
      <c r="G108" s="132" t="s">
        <v>362</v>
      </c>
      <c r="H108" s="132"/>
      <c r="I108" s="132" t="s">
        <v>372</v>
      </c>
      <c r="J108" s="132" t="s">
        <v>373</v>
      </c>
      <c r="K108" s="132">
        <v>73.599999999999994</v>
      </c>
      <c r="L108" s="132" t="s">
        <v>374</v>
      </c>
      <c r="M108" s="132" t="s">
        <v>521</v>
      </c>
    </row>
    <row r="109" spans="1:15" ht="16" x14ac:dyDescent="0.2">
      <c r="A109" s="40" t="s">
        <v>80</v>
      </c>
      <c r="B109" s="633">
        <f t="shared" si="3"/>
        <v>57.32</v>
      </c>
      <c r="C109" s="497">
        <f t="shared" si="4"/>
        <v>10330.220000000003</v>
      </c>
      <c r="D109" s="37"/>
      <c r="E109" s="131">
        <v>20250110</v>
      </c>
      <c r="F109" s="132"/>
      <c r="G109" s="132" t="s">
        <v>362</v>
      </c>
      <c r="H109" s="132"/>
      <c r="I109" s="132" t="s">
        <v>372</v>
      </c>
      <c r="J109" s="132" t="s">
        <v>373</v>
      </c>
      <c r="K109" s="132">
        <v>57.32</v>
      </c>
      <c r="L109" s="132" t="s">
        <v>374</v>
      </c>
      <c r="M109" s="132" t="s">
        <v>522</v>
      </c>
    </row>
    <row r="110" spans="1:15" ht="16" x14ac:dyDescent="0.2">
      <c r="A110" s="40" t="s">
        <v>80</v>
      </c>
      <c r="B110" s="633">
        <f t="shared" si="3"/>
        <v>29.88</v>
      </c>
      <c r="C110" s="497">
        <f t="shared" si="4"/>
        <v>10360.100000000002</v>
      </c>
      <c r="D110" s="37"/>
      <c r="E110" s="131">
        <v>20250113</v>
      </c>
      <c r="F110" s="132"/>
      <c r="G110" s="132" t="s">
        <v>362</v>
      </c>
      <c r="H110" s="132"/>
      <c r="I110" s="132" t="s">
        <v>372</v>
      </c>
      <c r="J110" s="132" t="s">
        <v>373</v>
      </c>
      <c r="K110" s="132">
        <v>29.88</v>
      </c>
      <c r="L110" s="132" t="s">
        <v>374</v>
      </c>
      <c r="M110" s="132" t="s">
        <v>523</v>
      </c>
    </row>
    <row r="111" spans="1:15" ht="16" x14ac:dyDescent="0.2">
      <c r="A111" s="40" t="s">
        <v>80</v>
      </c>
      <c r="B111" s="633">
        <f t="shared" si="3"/>
        <v>21.2</v>
      </c>
      <c r="C111" s="497">
        <f t="shared" si="4"/>
        <v>10381.300000000003</v>
      </c>
      <c r="D111" s="37"/>
      <c r="E111" s="131">
        <v>20250113</v>
      </c>
      <c r="F111" s="132"/>
      <c r="G111" s="132" t="s">
        <v>362</v>
      </c>
      <c r="H111" s="132"/>
      <c r="I111" s="132" t="s">
        <v>372</v>
      </c>
      <c r="J111" s="132" t="s">
        <v>373</v>
      </c>
      <c r="K111" s="132">
        <v>21.2</v>
      </c>
      <c r="L111" s="132" t="s">
        <v>374</v>
      </c>
      <c r="M111" s="132" t="s">
        <v>524</v>
      </c>
      <c r="N111" s="498"/>
    </row>
    <row r="112" spans="1:15" ht="16" x14ac:dyDescent="0.2">
      <c r="A112" s="40" t="s">
        <v>80</v>
      </c>
      <c r="B112" s="633">
        <f t="shared" si="3"/>
        <v>18.18</v>
      </c>
      <c r="C112" s="497">
        <f t="shared" si="4"/>
        <v>10399.480000000003</v>
      </c>
      <c r="D112" s="37"/>
      <c r="E112" s="131">
        <v>20250114</v>
      </c>
      <c r="F112" s="132"/>
      <c r="G112" s="132" t="s">
        <v>362</v>
      </c>
      <c r="H112" s="132"/>
      <c r="I112" s="132" t="s">
        <v>372</v>
      </c>
      <c r="J112" s="132" t="s">
        <v>373</v>
      </c>
      <c r="K112" s="132">
        <v>18.18</v>
      </c>
      <c r="L112" s="132" t="s">
        <v>374</v>
      </c>
      <c r="M112" s="132" t="s">
        <v>525</v>
      </c>
      <c r="N112" s="498"/>
    </row>
    <row r="113" spans="1:15" ht="16" x14ac:dyDescent="0.2">
      <c r="A113" s="40" t="s">
        <v>103</v>
      </c>
      <c r="B113" s="633">
        <f t="shared" si="3"/>
        <v>-30.25</v>
      </c>
      <c r="C113" s="497">
        <f t="shared" si="4"/>
        <v>10369.230000000003</v>
      </c>
      <c r="D113" s="37"/>
      <c r="E113" s="131">
        <v>20250114</v>
      </c>
      <c r="F113" s="132"/>
      <c r="G113" s="132" t="s">
        <v>362</v>
      </c>
      <c r="H113" s="132"/>
      <c r="I113" s="132" t="s">
        <v>368</v>
      </c>
      <c r="J113" s="132" t="s">
        <v>364</v>
      </c>
      <c r="K113" s="132">
        <v>-30.25</v>
      </c>
      <c r="L113" s="132" t="s">
        <v>369</v>
      </c>
      <c r="M113" s="132" t="s">
        <v>526</v>
      </c>
      <c r="N113" s="132"/>
    </row>
    <row r="114" spans="1:15" ht="16" x14ac:dyDescent="0.2">
      <c r="A114" s="40" t="s">
        <v>80</v>
      </c>
      <c r="B114" s="633">
        <f t="shared" si="3"/>
        <v>18.2</v>
      </c>
      <c r="C114" s="497">
        <f t="shared" si="4"/>
        <v>10387.430000000004</v>
      </c>
      <c r="D114" s="37"/>
      <c r="E114" s="131">
        <v>20250115</v>
      </c>
      <c r="F114" s="132"/>
      <c r="G114" s="132" t="s">
        <v>362</v>
      </c>
      <c r="H114" s="132"/>
      <c r="I114" s="132" t="s">
        <v>372</v>
      </c>
      <c r="J114" s="132" t="s">
        <v>373</v>
      </c>
      <c r="K114" s="132">
        <v>18.2</v>
      </c>
      <c r="L114" s="132" t="s">
        <v>374</v>
      </c>
      <c r="M114" s="132" t="s">
        <v>527</v>
      </c>
    </row>
    <row r="115" spans="1:15" ht="16" x14ac:dyDescent="0.2">
      <c r="A115" s="40" t="s">
        <v>110</v>
      </c>
      <c r="B115" s="633">
        <f t="shared" si="3"/>
        <v>-25.41</v>
      </c>
      <c r="C115" s="497">
        <f t="shared" si="4"/>
        <v>10362.020000000004</v>
      </c>
      <c r="D115" s="37"/>
      <c r="E115" s="131">
        <v>20250115</v>
      </c>
      <c r="F115" s="498"/>
      <c r="G115" s="132" t="s">
        <v>362</v>
      </c>
      <c r="H115" s="132"/>
      <c r="I115" s="132" t="s">
        <v>368</v>
      </c>
      <c r="J115" s="132" t="s">
        <v>364</v>
      </c>
      <c r="K115" s="132">
        <v>-25.41</v>
      </c>
      <c r="L115" s="132" t="s">
        <v>369</v>
      </c>
      <c r="M115" s="132" t="s">
        <v>528</v>
      </c>
    </row>
    <row r="116" spans="1:15" ht="16" x14ac:dyDescent="0.2">
      <c r="A116" s="40" t="s">
        <v>80</v>
      </c>
      <c r="B116" s="633">
        <f t="shared" si="3"/>
        <v>12.45</v>
      </c>
      <c r="C116" s="497">
        <f t="shared" si="4"/>
        <v>10374.470000000005</v>
      </c>
      <c r="D116" s="37"/>
      <c r="E116" s="131">
        <v>20250116</v>
      </c>
      <c r="F116" s="132"/>
      <c r="G116" s="132" t="s">
        <v>362</v>
      </c>
      <c r="H116" s="132"/>
      <c r="I116" s="132" t="s">
        <v>372</v>
      </c>
      <c r="J116" s="132" t="s">
        <v>373</v>
      </c>
      <c r="K116" s="132">
        <v>12.45</v>
      </c>
      <c r="L116" s="132" t="s">
        <v>374</v>
      </c>
      <c r="M116" s="132" t="s">
        <v>529</v>
      </c>
    </row>
    <row r="117" spans="1:15" ht="16" x14ac:dyDescent="0.2">
      <c r="A117" s="40" t="s">
        <v>80</v>
      </c>
      <c r="B117" s="633">
        <f t="shared" si="3"/>
        <v>20.69</v>
      </c>
      <c r="C117" s="497">
        <f t="shared" si="4"/>
        <v>10395.160000000005</v>
      </c>
      <c r="D117" s="37"/>
      <c r="E117" s="131">
        <v>20250117</v>
      </c>
      <c r="F117" s="132"/>
      <c r="G117" s="132" t="s">
        <v>362</v>
      </c>
      <c r="H117" s="132"/>
      <c r="I117" s="132" t="s">
        <v>372</v>
      </c>
      <c r="J117" s="132" t="s">
        <v>373</v>
      </c>
      <c r="K117" s="132">
        <v>20.69</v>
      </c>
      <c r="L117" s="132" t="s">
        <v>374</v>
      </c>
      <c r="M117" s="132" t="s">
        <v>530</v>
      </c>
    </row>
    <row r="118" spans="1:15" ht="16" x14ac:dyDescent="0.2">
      <c r="A118" s="40" t="s">
        <v>80</v>
      </c>
      <c r="B118" s="633">
        <f t="shared" si="3"/>
        <v>10.86</v>
      </c>
      <c r="C118" s="497">
        <f t="shared" si="4"/>
        <v>10406.020000000006</v>
      </c>
      <c r="D118" s="37"/>
      <c r="E118" s="131">
        <v>20250120</v>
      </c>
      <c r="F118" s="132"/>
      <c r="G118" s="132" t="s">
        <v>362</v>
      </c>
      <c r="H118" s="132"/>
      <c r="I118" s="132" t="s">
        <v>372</v>
      </c>
      <c r="J118" s="132" t="s">
        <v>373</v>
      </c>
      <c r="K118" s="132">
        <v>10.86</v>
      </c>
      <c r="L118" s="132" t="s">
        <v>374</v>
      </c>
      <c r="M118" s="132" t="s">
        <v>531</v>
      </c>
    </row>
    <row r="119" spans="1:15" ht="16" x14ac:dyDescent="0.2">
      <c r="A119" s="40" t="s">
        <v>80</v>
      </c>
      <c r="B119" s="633">
        <f t="shared" si="3"/>
        <v>28.86</v>
      </c>
      <c r="C119" s="497">
        <f t="shared" si="4"/>
        <v>10434.880000000006</v>
      </c>
      <c r="D119" s="37"/>
      <c r="E119" s="131">
        <v>20250121</v>
      </c>
      <c r="F119" s="132"/>
      <c r="G119" s="132" t="s">
        <v>362</v>
      </c>
      <c r="H119" s="132"/>
      <c r="I119" s="132" t="s">
        <v>372</v>
      </c>
      <c r="J119" s="132" t="s">
        <v>373</v>
      </c>
      <c r="K119" s="132">
        <v>28.86</v>
      </c>
      <c r="L119" s="132" t="s">
        <v>374</v>
      </c>
      <c r="M119" s="132" t="s">
        <v>532</v>
      </c>
      <c r="N119" s="498"/>
    </row>
    <row r="120" spans="1:15" ht="16" x14ac:dyDescent="0.2">
      <c r="A120" s="40" t="s">
        <v>80</v>
      </c>
      <c r="B120" s="633">
        <f t="shared" si="3"/>
        <v>64.92</v>
      </c>
      <c r="C120" s="497">
        <f t="shared" si="4"/>
        <v>10499.800000000007</v>
      </c>
      <c r="D120" s="37"/>
      <c r="E120" s="131">
        <v>20250122</v>
      </c>
      <c r="F120" s="132"/>
      <c r="G120" s="132" t="s">
        <v>362</v>
      </c>
      <c r="H120" s="132"/>
      <c r="I120" s="132" t="s">
        <v>372</v>
      </c>
      <c r="J120" s="132" t="s">
        <v>373</v>
      </c>
      <c r="K120" s="132">
        <v>64.92</v>
      </c>
      <c r="L120" s="132" t="s">
        <v>374</v>
      </c>
      <c r="M120" s="132" t="s">
        <v>533</v>
      </c>
      <c r="N120" s="498"/>
    </row>
    <row r="121" spans="1:15" ht="16" x14ac:dyDescent="0.2">
      <c r="A121" s="40" t="s">
        <v>94</v>
      </c>
      <c r="B121" s="633">
        <f t="shared" si="3"/>
        <v>-12.96</v>
      </c>
      <c r="C121" s="497">
        <f t="shared" si="4"/>
        <v>10486.840000000007</v>
      </c>
      <c r="D121" s="37"/>
      <c r="E121" s="131">
        <v>20250122</v>
      </c>
      <c r="F121" s="132"/>
      <c r="G121" s="132" t="s">
        <v>362</v>
      </c>
      <c r="H121" s="132"/>
      <c r="I121" s="132" t="s">
        <v>368</v>
      </c>
      <c r="J121" s="132" t="s">
        <v>364</v>
      </c>
      <c r="K121" s="132">
        <v>-12.96</v>
      </c>
      <c r="L121" s="132" t="s">
        <v>369</v>
      </c>
      <c r="M121" s="132" t="s">
        <v>534</v>
      </c>
      <c r="N121" s="498"/>
      <c r="O121" t="s">
        <v>411</v>
      </c>
    </row>
    <row r="122" spans="1:15" ht="16" x14ac:dyDescent="0.2">
      <c r="A122" s="40" t="s">
        <v>80</v>
      </c>
      <c r="B122" s="633">
        <f t="shared" si="3"/>
        <v>59.77</v>
      </c>
      <c r="C122" s="497">
        <f t="shared" si="4"/>
        <v>10546.610000000008</v>
      </c>
      <c r="D122" s="37"/>
      <c r="E122" s="131">
        <v>20250123</v>
      </c>
      <c r="F122" s="132"/>
      <c r="G122" s="132" t="s">
        <v>362</v>
      </c>
      <c r="H122" s="132"/>
      <c r="I122" s="132" t="s">
        <v>372</v>
      </c>
      <c r="J122" s="132" t="s">
        <v>373</v>
      </c>
      <c r="K122" s="132">
        <v>59.77</v>
      </c>
      <c r="L122" s="132" t="s">
        <v>374</v>
      </c>
      <c r="M122" s="132" t="s">
        <v>535</v>
      </c>
      <c r="N122" s="498"/>
    </row>
    <row r="123" spans="1:15" ht="16" x14ac:dyDescent="0.2">
      <c r="A123" s="40" t="s">
        <v>80</v>
      </c>
      <c r="B123" s="633">
        <f t="shared" si="3"/>
        <v>14.44</v>
      </c>
      <c r="C123" s="497">
        <f t="shared" si="4"/>
        <v>10561.050000000008</v>
      </c>
      <c r="D123" s="37"/>
      <c r="E123" s="131">
        <v>20250124</v>
      </c>
      <c r="F123" s="132"/>
      <c r="G123" s="132" t="s">
        <v>362</v>
      </c>
      <c r="H123" s="132"/>
      <c r="I123" s="132" t="s">
        <v>372</v>
      </c>
      <c r="J123" s="132" t="s">
        <v>373</v>
      </c>
      <c r="K123" s="132">
        <v>14.44</v>
      </c>
      <c r="L123" s="132" t="s">
        <v>374</v>
      </c>
      <c r="M123" s="132" t="s">
        <v>536</v>
      </c>
      <c r="N123" s="498"/>
    </row>
    <row r="124" spans="1:15" ht="16" x14ac:dyDescent="0.2">
      <c r="A124" s="40" t="s">
        <v>100</v>
      </c>
      <c r="B124" s="633">
        <f t="shared" si="3"/>
        <v>-38.36</v>
      </c>
      <c r="C124" s="497">
        <f t="shared" si="4"/>
        <v>10522.690000000008</v>
      </c>
      <c r="D124" s="37"/>
      <c r="E124" s="131">
        <v>20250126</v>
      </c>
      <c r="F124" s="132"/>
      <c r="G124" s="132" t="s">
        <v>362</v>
      </c>
      <c r="H124" s="133"/>
      <c r="I124" s="132" t="s">
        <v>382</v>
      </c>
      <c r="J124" s="132" t="s">
        <v>364</v>
      </c>
      <c r="K124" s="132">
        <v>-38.36</v>
      </c>
      <c r="L124" s="132" t="s">
        <v>383</v>
      </c>
      <c r="M124" s="132" t="s">
        <v>537</v>
      </c>
      <c r="N124" s="498"/>
    </row>
    <row r="125" spans="1:15" ht="16" x14ac:dyDescent="0.2">
      <c r="A125" s="40" t="s">
        <v>80</v>
      </c>
      <c r="B125" s="633">
        <f t="shared" si="3"/>
        <v>3.62</v>
      </c>
      <c r="C125" s="497">
        <f t="shared" si="4"/>
        <v>10526.310000000009</v>
      </c>
      <c r="D125" s="37"/>
      <c r="E125" s="131">
        <v>20250127</v>
      </c>
      <c r="F125" s="132"/>
      <c r="G125" s="132" t="s">
        <v>362</v>
      </c>
      <c r="H125" s="132"/>
      <c r="I125" s="132" t="s">
        <v>372</v>
      </c>
      <c r="J125" s="132" t="s">
        <v>373</v>
      </c>
      <c r="K125" s="132">
        <v>3.62</v>
      </c>
      <c r="L125" s="132" t="s">
        <v>374</v>
      </c>
      <c r="M125" s="132" t="s">
        <v>538</v>
      </c>
    </row>
    <row r="126" spans="1:15" ht="16" x14ac:dyDescent="0.2">
      <c r="A126" s="40" t="s">
        <v>80</v>
      </c>
      <c r="B126" s="633">
        <f t="shared" si="3"/>
        <v>3.62</v>
      </c>
      <c r="C126" s="497">
        <f t="shared" si="4"/>
        <v>10529.930000000009</v>
      </c>
      <c r="D126" s="37"/>
      <c r="E126" s="131">
        <v>20250131</v>
      </c>
      <c r="F126" s="132"/>
      <c r="G126" s="132" t="s">
        <v>362</v>
      </c>
      <c r="H126" s="132"/>
      <c r="I126" s="132" t="s">
        <v>372</v>
      </c>
      <c r="J126" s="132" t="s">
        <v>373</v>
      </c>
      <c r="K126" s="132">
        <v>3.62</v>
      </c>
      <c r="L126" s="132" t="s">
        <v>374</v>
      </c>
      <c r="M126" s="132" t="s">
        <v>539</v>
      </c>
      <c r="N126" s="498"/>
    </row>
    <row r="127" spans="1:15" ht="16" x14ac:dyDescent="0.2">
      <c r="A127" s="40" t="s">
        <v>80</v>
      </c>
      <c r="B127" s="633">
        <f t="shared" si="3"/>
        <v>21.64</v>
      </c>
      <c r="C127" s="497">
        <f t="shared" si="4"/>
        <v>10551.570000000009</v>
      </c>
      <c r="D127" s="37"/>
      <c r="E127" s="131">
        <v>20250203</v>
      </c>
      <c r="F127" s="132"/>
      <c r="G127" s="132" t="s">
        <v>362</v>
      </c>
      <c r="H127" s="132"/>
      <c r="I127" s="132" t="s">
        <v>372</v>
      </c>
      <c r="J127" s="132" t="s">
        <v>373</v>
      </c>
      <c r="K127" s="132">
        <v>21.64</v>
      </c>
      <c r="L127" s="132" t="s">
        <v>374</v>
      </c>
      <c r="M127" s="132" t="s">
        <v>540</v>
      </c>
      <c r="N127" s="498"/>
    </row>
    <row r="128" spans="1:15" ht="16" x14ac:dyDescent="0.2">
      <c r="A128" s="40" t="s">
        <v>80</v>
      </c>
      <c r="B128" s="633">
        <f t="shared" si="3"/>
        <v>24.68</v>
      </c>
      <c r="C128" s="497">
        <f t="shared" si="4"/>
        <v>10576.250000000009</v>
      </c>
      <c r="D128" s="37"/>
      <c r="E128" s="131">
        <v>20250203</v>
      </c>
      <c r="F128" s="132"/>
      <c r="G128" s="132" t="s">
        <v>362</v>
      </c>
      <c r="H128" s="132"/>
      <c r="I128" s="132" t="s">
        <v>372</v>
      </c>
      <c r="J128" s="132" t="s">
        <v>373</v>
      </c>
      <c r="K128" s="132">
        <v>24.68</v>
      </c>
      <c r="L128" s="132" t="s">
        <v>374</v>
      </c>
      <c r="M128" s="132" t="s">
        <v>541</v>
      </c>
      <c r="N128" s="498"/>
    </row>
    <row r="129" spans="1:14" ht="16" x14ac:dyDescent="0.2">
      <c r="A129" s="40" t="s">
        <v>84</v>
      </c>
      <c r="B129" s="633">
        <f t="shared" si="3"/>
        <v>-20</v>
      </c>
      <c r="C129" s="497">
        <f t="shared" si="4"/>
        <v>10556.250000000009</v>
      </c>
      <c r="D129" s="37"/>
      <c r="E129" s="131">
        <v>20250203</v>
      </c>
      <c r="F129" s="132"/>
      <c r="G129" s="132" t="s">
        <v>362</v>
      </c>
      <c r="H129" s="132"/>
      <c r="I129" s="132" t="s">
        <v>368</v>
      </c>
      <c r="J129" s="132" t="s">
        <v>364</v>
      </c>
      <c r="K129" s="132">
        <v>-20</v>
      </c>
      <c r="L129" s="132" t="s">
        <v>369</v>
      </c>
      <c r="M129" s="132" t="s">
        <v>542</v>
      </c>
    </row>
    <row r="130" spans="1:14" ht="16" x14ac:dyDescent="0.2">
      <c r="A130" s="40" t="s">
        <v>80</v>
      </c>
      <c r="B130" s="633">
        <f t="shared" si="3"/>
        <v>7.2</v>
      </c>
      <c r="C130" s="497">
        <f t="shared" si="4"/>
        <v>10563.45000000001</v>
      </c>
      <c r="D130" s="37"/>
      <c r="E130" s="131">
        <v>20250204</v>
      </c>
      <c r="F130" s="132"/>
      <c r="G130" s="132" t="s">
        <v>362</v>
      </c>
      <c r="H130" s="132"/>
      <c r="I130" s="132" t="s">
        <v>372</v>
      </c>
      <c r="J130" s="132" t="s">
        <v>373</v>
      </c>
      <c r="K130" s="132">
        <v>7.2</v>
      </c>
      <c r="L130" s="132" t="s">
        <v>374</v>
      </c>
      <c r="M130" s="132" t="s">
        <v>543</v>
      </c>
    </row>
    <row r="131" spans="1:14" ht="16" x14ac:dyDescent="0.2">
      <c r="A131" s="40" t="s">
        <v>80</v>
      </c>
      <c r="B131" s="633">
        <f t="shared" si="3"/>
        <v>32.42</v>
      </c>
      <c r="C131" s="497">
        <f t="shared" si="4"/>
        <v>10595.87000000001</v>
      </c>
      <c r="E131" s="131">
        <v>20250205</v>
      </c>
      <c r="F131" s="132"/>
      <c r="G131" s="132" t="s">
        <v>362</v>
      </c>
      <c r="H131" s="132"/>
      <c r="I131" s="132" t="s">
        <v>372</v>
      </c>
      <c r="J131" s="132" t="s">
        <v>373</v>
      </c>
      <c r="K131" s="132">
        <v>32.42</v>
      </c>
      <c r="L131" s="132" t="s">
        <v>374</v>
      </c>
      <c r="M131" s="132" t="s">
        <v>544</v>
      </c>
    </row>
    <row r="132" spans="1:14" ht="16" x14ac:dyDescent="0.2">
      <c r="A132" s="40" t="s">
        <v>80</v>
      </c>
      <c r="B132" s="633">
        <f t="shared" ref="B132:B152" si="5">K132</f>
        <v>10.82</v>
      </c>
      <c r="C132" s="497">
        <f t="shared" ref="C132:C152" si="6">C131+B132</f>
        <v>10606.69000000001</v>
      </c>
      <c r="E132" s="131">
        <v>20250206</v>
      </c>
      <c r="F132" s="132"/>
      <c r="G132" s="132" t="s">
        <v>362</v>
      </c>
      <c r="H132" s="132"/>
      <c r="I132" s="132" t="s">
        <v>372</v>
      </c>
      <c r="J132" s="132" t="s">
        <v>373</v>
      </c>
      <c r="K132" s="132">
        <v>10.82</v>
      </c>
      <c r="L132" s="132" t="s">
        <v>374</v>
      </c>
      <c r="M132" s="132" t="s">
        <v>545</v>
      </c>
    </row>
    <row r="133" spans="1:14" ht="16" x14ac:dyDescent="0.2">
      <c r="A133" s="40" t="s">
        <v>242</v>
      </c>
      <c r="B133" s="633">
        <f t="shared" si="5"/>
        <v>-233</v>
      </c>
      <c r="C133" s="497">
        <f t="shared" si="6"/>
        <v>10373.69000000001</v>
      </c>
      <c r="E133" s="131">
        <v>20250206</v>
      </c>
      <c r="F133" s="132"/>
      <c r="G133" s="132" t="s">
        <v>362</v>
      </c>
      <c r="H133" s="132"/>
      <c r="I133" s="132" t="s">
        <v>363</v>
      </c>
      <c r="J133" s="132" t="s">
        <v>364</v>
      </c>
      <c r="K133" s="132">
        <v>-233</v>
      </c>
      <c r="L133" s="132" t="s">
        <v>365</v>
      </c>
      <c r="M133" s="132" t="s">
        <v>546</v>
      </c>
      <c r="N133" s="498" t="s">
        <v>547</v>
      </c>
    </row>
    <row r="134" spans="1:14" ht="16" x14ac:dyDescent="0.2">
      <c r="A134" s="40" t="s">
        <v>180</v>
      </c>
      <c r="B134" s="633">
        <f t="shared" si="5"/>
        <v>-20.76</v>
      </c>
      <c r="C134" s="497">
        <f t="shared" si="6"/>
        <v>10352.930000000009</v>
      </c>
      <c r="E134" s="131">
        <v>20250206</v>
      </c>
      <c r="F134" s="132"/>
      <c r="G134" s="132" t="s">
        <v>362</v>
      </c>
      <c r="H134" s="132"/>
      <c r="I134" s="132" t="s">
        <v>363</v>
      </c>
      <c r="J134" s="132" t="s">
        <v>364</v>
      </c>
      <c r="K134" s="132">
        <v>-20.76</v>
      </c>
      <c r="L134" s="132" t="s">
        <v>365</v>
      </c>
      <c r="M134" s="132" t="s">
        <v>548</v>
      </c>
      <c r="N134" s="498" t="s">
        <v>549</v>
      </c>
    </row>
    <row r="135" spans="1:14" ht="16" x14ac:dyDescent="0.2">
      <c r="A135" s="40" t="s">
        <v>179</v>
      </c>
      <c r="B135" s="633">
        <f t="shared" si="5"/>
        <v>-140</v>
      </c>
      <c r="C135" s="497">
        <f t="shared" si="6"/>
        <v>10212.930000000009</v>
      </c>
      <c r="E135" s="131">
        <v>20250206</v>
      </c>
      <c r="F135" s="132"/>
      <c r="G135" s="132" t="s">
        <v>362</v>
      </c>
      <c r="H135" s="132"/>
      <c r="I135" s="132" t="s">
        <v>363</v>
      </c>
      <c r="J135" s="132" t="s">
        <v>364</v>
      </c>
      <c r="K135" s="132">
        <v>-140</v>
      </c>
      <c r="L135" s="132" t="s">
        <v>365</v>
      </c>
      <c r="M135" s="132" t="s">
        <v>550</v>
      </c>
      <c r="N135" s="498" t="s">
        <v>551</v>
      </c>
    </row>
    <row r="136" spans="1:14" ht="16" x14ac:dyDescent="0.2">
      <c r="A136" s="40" t="s">
        <v>222</v>
      </c>
      <c r="B136" s="633">
        <f t="shared" si="5"/>
        <v>-262.5</v>
      </c>
      <c r="C136" s="497">
        <f t="shared" si="6"/>
        <v>9950.4300000000094</v>
      </c>
      <c r="E136" s="131">
        <v>20250206</v>
      </c>
      <c r="F136" s="132"/>
      <c r="G136" s="132" t="s">
        <v>362</v>
      </c>
      <c r="H136" s="132"/>
      <c r="I136" s="132" t="s">
        <v>363</v>
      </c>
      <c r="J136" s="132" t="s">
        <v>364</v>
      </c>
      <c r="K136" s="132">
        <v>-262.5</v>
      </c>
      <c r="L136" s="132" t="s">
        <v>365</v>
      </c>
      <c r="M136" s="132" t="s">
        <v>552</v>
      </c>
      <c r="N136" s="498" t="s">
        <v>553</v>
      </c>
    </row>
    <row r="137" spans="1:14" ht="16" x14ac:dyDescent="0.2">
      <c r="A137" s="40" t="s">
        <v>179</v>
      </c>
      <c r="B137" s="633">
        <f t="shared" si="5"/>
        <v>-125</v>
      </c>
      <c r="C137" s="497">
        <f t="shared" si="6"/>
        <v>9825.4300000000094</v>
      </c>
      <c r="E137" s="131">
        <v>20250206</v>
      </c>
      <c r="F137" s="132"/>
      <c r="G137" s="132" t="s">
        <v>362</v>
      </c>
      <c r="H137" s="132"/>
      <c r="I137" s="132" t="s">
        <v>363</v>
      </c>
      <c r="J137" s="132" t="s">
        <v>364</v>
      </c>
      <c r="K137" s="132">
        <v>-125</v>
      </c>
      <c r="L137" s="132" t="s">
        <v>365</v>
      </c>
      <c r="M137" s="132" t="s">
        <v>554</v>
      </c>
      <c r="N137" s="498" t="s">
        <v>555</v>
      </c>
    </row>
    <row r="138" spans="1:14" ht="16" x14ac:dyDescent="0.2">
      <c r="A138" s="40" t="s">
        <v>333</v>
      </c>
      <c r="B138" s="633">
        <f t="shared" si="5"/>
        <v>-3400</v>
      </c>
      <c r="C138" s="497">
        <f t="shared" si="6"/>
        <v>6425.4300000000094</v>
      </c>
      <c r="E138" s="131">
        <v>20250206</v>
      </c>
      <c r="F138" s="132"/>
      <c r="G138" s="132" t="s">
        <v>362</v>
      </c>
      <c r="H138" s="132"/>
      <c r="I138" s="132" t="s">
        <v>363</v>
      </c>
      <c r="J138" s="132" t="s">
        <v>364</v>
      </c>
      <c r="K138" s="132">
        <v>-3400</v>
      </c>
      <c r="L138" s="132" t="s">
        <v>365</v>
      </c>
      <c r="M138" s="132" t="s">
        <v>556</v>
      </c>
      <c r="N138" s="498" t="s">
        <v>557</v>
      </c>
    </row>
    <row r="139" spans="1:14" ht="16" x14ac:dyDescent="0.2">
      <c r="A139" s="40" t="s">
        <v>186</v>
      </c>
      <c r="B139" s="633">
        <f t="shared" si="5"/>
        <v>-5</v>
      </c>
      <c r="C139" s="497">
        <f t="shared" si="6"/>
        <v>6420.4300000000094</v>
      </c>
      <c r="E139" s="131">
        <v>20250206</v>
      </c>
      <c r="F139" s="132"/>
      <c r="G139" s="132" t="s">
        <v>362</v>
      </c>
      <c r="H139" s="132"/>
      <c r="I139" s="132" t="s">
        <v>363</v>
      </c>
      <c r="J139" s="132" t="s">
        <v>364</v>
      </c>
      <c r="K139" s="132">
        <v>-5</v>
      </c>
      <c r="L139" s="132" t="s">
        <v>365</v>
      </c>
      <c r="M139" s="132" t="s">
        <v>558</v>
      </c>
      <c r="N139" s="498" t="s">
        <v>559</v>
      </c>
    </row>
    <row r="140" spans="1:14" ht="16" x14ac:dyDescent="0.2">
      <c r="A140" s="40" t="s">
        <v>173</v>
      </c>
      <c r="B140" s="633">
        <f t="shared" si="5"/>
        <v>-38.200000000000003</v>
      </c>
      <c r="C140" s="497">
        <f t="shared" si="6"/>
        <v>6382.2300000000096</v>
      </c>
      <c r="D140" s="37"/>
      <c r="E140" s="131">
        <v>20250206</v>
      </c>
      <c r="F140" s="132"/>
      <c r="G140" s="132" t="s">
        <v>362</v>
      </c>
      <c r="H140" s="132"/>
      <c r="I140" s="132" t="s">
        <v>363</v>
      </c>
      <c r="J140" s="132" t="s">
        <v>364</v>
      </c>
      <c r="K140" s="132">
        <v>-38.200000000000003</v>
      </c>
      <c r="L140" s="132" t="s">
        <v>365</v>
      </c>
      <c r="M140" s="132" t="s">
        <v>560</v>
      </c>
      <c r="N140" s="498" t="s">
        <v>561</v>
      </c>
    </row>
    <row r="141" spans="1:14" ht="16" x14ac:dyDescent="0.2">
      <c r="A141" s="40" t="s">
        <v>195</v>
      </c>
      <c r="B141" s="633">
        <f t="shared" si="5"/>
        <v>-9.36</v>
      </c>
      <c r="C141" s="497">
        <f t="shared" si="6"/>
        <v>6372.8700000000099</v>
      </c>
      <c r="D141" s="37"/>
      <c r="E141" s="131">
        <v>20250206</v>
      </c>
      <c r="F141" s="132"/>
      <c r="G141" s="132" t="s">
        <v>362</v>
      </c>
      <c r="H141" s="132"/>
      <c r="I141" s="132" t="s">
        <v>363</v>
      </c>
      <c r="J141" s="132" t="s">
        <v>364</v>
      </c>
      <c r="K141" s="132">
        <v>-9.36</v>
      </c>
      <c r="L141" s="132" t="s">
        <v>365</v>
      </c>
      <c r="M141" s="132" t="s">
        <v>562</v>
      </c>
      <c r="N141" s="498" t="s">
        <v>563</v>
      </c>
    </row>
    <row r="142" spans="1:14" ht="16" x14ac:dyDescent="0.2">
      <c r="A142" s="40" t="s">
        <v>197</v>
      </c>
      <c r="B142" s="633">
        <f t="shared" si="5"/>
        <v>-49.92</v>
      </c>
      <c r="C142" s="497">
        <f t="shared" si="6"/>
        <v>6322.9500000000098</v>
      </c>
      <c r="D142" s="37"/>
      <c r="E142" s="131">
        <v>20250206</v>
      </c>
      <c r="F142" s="132"/>
      <c r="G142" s="132" t="s">
        <v>362</v>
      </c>
      <c r="H142" s="132"/>
      <c r="I142" s="132" t="s">
        <v>363</v>
      </c>
      <c r="J142" s="132" t="s">
        <v>364</v>
      </c>
      <c r="K142" s="132">
        <v>-49.92</v>
      </c>
      <c r="L142" s="132" t="s">
        <v>365</v>
      </c>
      <c r="M142" s="132" t="s">
        <v>564</v>
      </c>
      <c r="N142" s="498" t="s">
        <v>565</v>
      </c>
    </row>
    <row r="143" spans="1:14" ht="16" x14ac:dyDescent="0.2">
      <c r="A143" s="40" t="s">
        <v>256</v>
      </c>
      <c r="B143" s="633">
        <f t="shared" si="5"/>
        <v>-18.62</v>
      </c>
      <c r="C143" s="497">
        <f t="shared" si="6"/>
        <v>6304.3300000000099</v>
      </c>
      <c r="D143" s="37"/>
      <c r="E143" s="131">
        <v>20250206</v>
      </c>
      <c r="F143" s="132"/>
      <c r="G143" s="132" t="s">
        <v>362</v>
      </c>
      <c r="H143" s="132"/>
      <c r="I143" s="132" t="s">
        <v>363</v>
      </c>
      <c r="J143" s="132" t="s">
        <v>364</v>
      </c>
      <c r="K143" s="132">
        <v>-18.62</v>
      </c>
      <c r="L143" s="132" t="s">
        <v>365</v>
      </c>
      <c r="M143" s="132" t="s">
        <v>566</v>
      </c>
      <c r="N143" s="498" t="s">
        <v>567</v>
      </c>
    </row>
    <row r="144" spans="1:14" ht="16" x14ac:dyDescent="0.2">
      <c r="A144" s="40" t="s">
        <v>341</v>
      </c>
      <c r="B144" s="633">
        <f t="shared" si="5"/>
        <v>-27.06</v>
      </c>
      <c r="C144" s="497">
        <f t="shared" si="6"/>
        <v>6277.2700000000095</v>
      </c>
      <c r="D144" s="37"/>
      <c r="E144" s="131">
        <v>20250206</v>
      </c>
      <c r="F144" s="132"/>
      <c r="G144" s="132" t="s">
        <v>362</v>
      </c>
      <c r="H144" s="132"/>
      <c r="I144" s="132" t="s">
        <v>363</v>
      </c>
      <c r="J144" s="132" t="s">
        <v>364</v>
      </c>
      <c r="K144" s="132">
        <v>-27.06</v>
      </c>
      <c r="L144" s="132" t="s">
        <v>365</v>
      </c>
      <c r="M144" s="132" t="s">
        <v>568</v>
      </c>
      <c r="N144" s="498" t="s">
        <v>569</v>
      </c>
    </row>
    <row r="145" spans="1:14" ht="16" x14ac:dyDescent="0.2">
      <c r="A145" s="40" t="s">
        <v>261</v>
      </c>
      <c r="B145" s="633">
        <f t="shared" si="5"/>
        <v>-13.49</v>
      </c>
      <c r="C145" s="497">
        <f t="shared" si="6"/>
        <v>6263.7800000000097</v>
      </c>
      <c r="E145" s="131">
        <v>20250206</v>
      </c>
      <c r="F145" s="132"/>
      <c r="G145" s="132" t="s">
        <v>362</v>
      </c>
      <c r="H145" s="132"/>
      <c r="I145" s="132" t="s">
        <v>363</v>
      </c>
      <c r="J145" s="132" t="s">
        <v>364</v>
      </c>
      <c r="K145" s="132">
        <v>-13.49</v>
      </c>
      <c r="L145" s="132" t="s">
        <v>365</v>
      </c>
      <c r="M145" s="132" t="s">
        <v>570</v>
      </c>
      <c r="N145" s="500" t="s">
        <v>571</v>
      </c>
    </row>
    <row r="146" spans="1:14" ht="16" x14ac:dyDescent="0.2">
      <c r="A146" s="40" t="s">
        <v>261</v>
      </c>
      <c r="B146" s="633">
        <f t="shared" si="5"/>
        <v>-25.3</v>
      </c>
      <c r="C146" s="497">
        <f t="shared" si="6"/>
        <v>6238.4800000000096</v>
      </c>
      <c r="D146" s="37"/>
      <c r="E146" s="131">
        <v>20250206</v>
      </c>
      <c r="F146" s="132"/>
      <c r="G146" s="132" t="s">
        <v>362</v>
      </c>
      <c r="H146" s="132"/>
      <c r="I146" s="132" t="s">
        <v>363</v>
      </c>
      <c r="J146" s="132" t="s">
        <v>364</v>
      </c>
      <c r="K146" s="132">
        <v>-25.3</v>
      </c>
      <c r="L146" s="132" t="s">
        <v>365</v>
      </c>
      <c r="M146" s="132" t="s">
        <v>572</v>
      </c>
      <c r="N146" s="498" t="s">
        <v>573</v>
      </c>
    </row>
    <row r="147" spans="1:14" ht="16" x14ac:dyDescent="0.2">
      <c r="A147" s="40" t="s">
        <v>80</v>
      </c>
      <c r="B147" s="633">
        <f t="shared" si="5"/>
        <v>49.28</v>
      </c>
      <c r="C147" s="497">
        <f t="shared" si="6"/>
        <v>6287.7600000000093</v>
      </c>
      <c r="D147" s="37"/>
      <c r="E147" s="131">
        <v>20250207</v>
      </c>
      <c r="F147" s="132"/>
      <c r="G147" s="132" t="s">
        <v>362</v>
      </c>
      <c r="H147" s="132"/>
      <c r="I147" s="132" t="s">
        <v>372</v>
      </c>
      <c r="J147" s="132" t="s">
        <v>373</v>
      </c>
      <c r="K147" s="132">
        <v>49.28</v>
      </c>
      <c r="L147" s="132" t="s">
        <v>374</v>
      </c>
      <c r="M147" s="132" t="s">
        <v>574</v>
      </c>
    </row>
    <row r="148" spans="1:14" ht="16" x14ac:dyDescent="0.2">
      <c r="A148" s="40" t="s">
        <v>80</v>
      </c>
      <c r="B148" s="633">
        <f t="shared" si="5"/>
        <v>14.46</v>
      </c>
      <c r="C148" s="497">
        <f t="shared" si="6"/>
        <v>6302.2200000000093</v>
      </c>
      <c r="D148" s="37"/>
      <c r="E148" s="131">
        <v>20250210</v>
      </c>
      <c r="F148" s="132"/>
      <c r="G148" s="132" t="s">
        <v>362</v>
      </c>
      <c r="H148" s="132"/>
      <c r="I148" s="132" t="s">
        <v>372</v>
      </c>
      <c r="J148" s="132" t="s">
        <v>373</v>
      </c>
      <c r="K148" s="132">
        <v>14.46</v>
      </c>
      <c r="L148" s="132" t="s">
        <v>374</v>
      </c>
      <c r="M148" s="132" t="s">
        <v>575</v>
      </c>
    </row>
    <row r="149" spans="1:14" ht="16" x14ac:dyDescent="0.2">
      <c r="A149" s="40" t="s">
        <v>185</v>
      </c>
      <c r="B149" s="633">
        <f t="shared" si="5"/>
        <v>-1417.1</v>
      </c>
      <c r="C149" s="497">
        <f t="shared" si="6"/>
        <v>4885.1200000000099</v>
      </c>
      <c r="D149" s="37"/>
      <c r="E149" s="131">
        <v>20250210</v>
      </c>
      <c r="F149" s="132"/>
      <c r="G149" s="132" t="s">
        <v>362</v>
      </c>
      <c r="H149" s="132"/>
      <c r="I149" s="132" t="s">
        <v>363</v>
      </c>
      <c r="J149" s="132" t="s">
        <v>364</v>
      </c>
      <c r="K149" s="132">
        <v>-1417.1</v>
      </c>
      <c r="L149" s="132" t="s">
        <v>365</v>
      </c>
      <c r="M149" s="132" t="s">
        <v>576</v>
      </c>
      <c r="N149" s="498" t="s">
        <v>577</v>
      </c>
    </row>
    <row r="150" spans="1:14" ht="16" x14ac:dyDescent="0.2">
      <c r="A150" s="40" t="s">
        <v>80</v>
      </c>
      <c r="B150" s="633">
        <f t="shared" si="5"/>
        <v>46.54</v>
      </c>
      <c r="C150" s="497">
        <f t="shared" si="6"/>
        <v>4931.6600000000099</v>
      </c>
      <c r="E150" s="131">
        <v>20250211</v>
      </c>
      <c r="F150" s="132"/>
      <c r="G150" s="132" t="s">
        <v>362</v>
      </c>
      <c r="H150" s="132"/>
      <c r="I150" s="132" t="s">
        <v>372</v>
      </c>
      <c r="J150" s="132" t="s">
        <v>373</v>
      </c>
      <c r="K150" s="132">
        <v>46.54</v>
      </c>
      <c r="L150" s="132" t="s">
        <v>374</v>
      </c>
      <c r="M150" s="132" t="s">
        <v>578</v>
      </c>
    </row>
    <row r="151" spans="1:14" ht="16" x14ac:dyDescent="0.2">
      <c r="A151" s="40" t="s">
        <v>80</v>
      </c>
      <c r="B151" s="633">
        <f t="shared" si="5"/>
        <v>35.11</v>
      </c>
      <c r="C151" s="497">
        <f t="shared" si="6"/>
        <v>4966.7700000000095</v>
      </c>
      <c r="E151" s="131">
        <v>20250212</v>
      </c>
      <c r="F151" s="132"/>
      <c r="G151" s="132" t="s">
        <v>362</v>
      </c>
      <c r="H151" s="132"/>
      <c r="I151" s="132" t="s">
        <v>372</v>
      </c>
      <c r="J151" s="132" t="s">
        <v>373</v>
      </c>
      <c r="K151" s="132">
        <v>35.11</v>
      </c>
      <c r="L151" s="132" t="s">
        <v>374</v>
      </c>
      <c r="M151" s="132" t="s">
        <v>579</v>
      </c>
    </row>
    <row r="152" spans="1:14" ht="16" x14ac:dyDescent="0.2">
      <c r="A152" s="40" t="s">
        <v>80</v>
      </c>
      <c r="B152" s="633">
        <f t="shared" si="5"/>
        <v>5.26</v>
      </c>
      <c r="C152" s="497">
        <f t="shared" si="6"/>
        <v>4972.0300000000097</v>
      </c>
      <c r="E152" s="131">
        <v>20250213</v>
      </c>
      <c r="F152" s="132"/>
      <c r="G152" s="132" t="s">
        <v>362</v>
      </c>
      <c r="H152" s="132"/>
      <c r="I152" s="132" t="s">
        <v>372</v>
      </c>
      <c r="J152" s="132" t="s">
        <v>373</v>
      </c>
      <c r="K152" s="132">
        <v>5.26</v>
      </c>
      <c r="L152" s="132" t="s">
        <v>374</v>
      </c>
      <c r="M152" s="132" t="s">
        <v>580</v>
      </c>
    </row>
    <row r="153" spans="1:14" ht="16" x14ac:dyDescent="0.2">
      <c r="A153" s="40" t="s">
        <v>80</v>
      </c>
      <c r="B153" s="41">
        <f>K153</f>
        <v>7.92</v>
      </c>
      <c r="C153" s="497">
        <f>C152+B153</f>
        <v>4979.9500000000098</v>
      </c>
      <c r="D153" s="37"/>
      <c r="E153" s="131">
        <v>20250214</v>
      </c>
      <c r="F153" s="132"/>
      <c r="G153" s="132" t="s">
        <v>362</v>
      </c>
      <c r="H153" s="132"/>
      <c r="I153" s="132" t="s">
        <v>372</v>
      </c>
      <c r="J153" s="132" t="s">
        <v>373</v>
      </c>
      <c r="K153" s="132">
        <v>7.92</v>
      </c>
      <c r="L153" s="132" t="s">
        <v>374</v>
      </c>
      <c r="M153" s="132" t="s">
        <v>581</v>
      </c>
      <c r="N153" s="498"/>
    </row>
    <row r="154" spans="1:14" ht="16" x14ac:dyDescent="0.2">
      <c r="A154" s="40" t="s">
        <v>103</v>
      </c>
      <c r="B154" s="41">
        <f t="shared" ref="B154:B217" si="7">K154</f>
        <v>-30.25</v>
      </c>
      <c r="C154" s="497">
        <f t="shared" ref="C154:C217" si="8">C153+B154</f>
        <v>4949.7000000000098</v>
      </c>
      <c r="D154" s="37"/>
      <c r="E154" s="131">
        <v>20250214</v>
      </c>
      <c r="F154" s="132"/>
      <c r="G154" s="132" t="s">
        <v>362</v>
      </c>
      <c r="H154" s="132"/>
      <c r="I154" s="132" t="s">
        <v>368</v>
      </c>
      <c r="J154" s="132" t="s">
        <v>364</v>
      </c>
      <c r="K154" s="132">
        <v>-30.25</v>
      </c>
      <c r="L154" s="132" t="s">
        <v>369</v>
      </c>
      <c r="M154" s="132" t="s">
        <v>582</v>
      </c>
      <c r="N154" s="132"/>
    </row>
    <row r="155" spans="1:14" ht="16" x14ac:dyDescent="0.2">
      <c r="A155" s="40" t="s">
        <v>308</v>
      </c>
      <c r="B155" s="41">
        <f t="shared" si="7"/>
        <v>-1417</v>
      </c>
      <c r="C155" s="497">
        <f t="shared" si="8"/>
        <v>3532.7000000000098</v>
      </c>
      <c r="D155" s="37"/>
      <c r="E155" s="131">
        <v>20250216</v>
      </c>
      <c r="F155" s="132"/>
      <c r="G155" s="132" t="s">
        <v>362</v>
      </c>
      <c r="H155" s="132"/>
      <c r="I155" s="132" t="s">
        <v>363</v>
      </c>
      <c r="J155" s="132" t="s">
        <v>364</v>
      </c>
      <c r="K155" s="132">
        <v>-1417</v>
      </c>
      <c r="L155" s="132" t="s">
        <v>365</v>
      </c>
      <c r="M155" s="132" t="s">
        <v>583</v>
      </c>
      <c r="N155" s="498" t="s">
        <v>584</v>
      </c>
    </row>
    <row r="156" spans="1:14" ht="16" x14ac:dyDescent="0.2">
      <c r="A156" s="40" t="s">
        <v>123</v>
      </c>
      <c r="B156" s="41">
        <f t="shared" si="7"/>
        <v>-152.66999999999999</v>
      </c>
      <c r="C156" s="497">
        <f t="shared" si="8"/>
        <v>3380.0300000000097</v>
      </c>
      <c r="D156" s="37"/>
      <c r="E156" s="131">
        <v>20250216</v>
      </c>
      <c r="F156" s="132"/>
      <c r="G156" s="132" t="s">
        <v>362</v>
      </c>
      <c r="H156" s="132"/>
      <c r="I156" s="132" t="s">
        <v>363</v>
      </c>
      <c r="J156" s="132" t="s">
        <v>364</v>
      </c>
      <c r="K156" s="132">
        <v>-152.66999999999999</v>
      </c>
      <c r="L156" s="132" t="s">
        <v>365</v>
      </c>
      <c r="M156" s="132" t="s">
        <v>585</v>
      </c>
      <c r="N156" s="498" t="s">
        <v>586</v>
      </c>
    </row>
    <row r="157" spans="1:14" ht="16" x14ac:dyDescent="0.2">
      <c r="A157" s="40" t="s">
        <v>273</v>
      </c>
      <c r="B157" s="41">
        <f t="shared" si="7"/>
        <v>-8.75</v>
      </c>
      <c r="C157" s="497">
        <f t="shared" si="8"/>
        <v>3371.2800000000097</v>
      </c>
      <c r="D157" s="37"/>
      <c r="E157" s="131">
        <v>20250216</v>
      </c>
      <c r="F157" s="132"/>
      <c r="G157" s="132" t="s">
        <v>362</v>
      </c>
      <c r="H157" s="132"/>
      <c r="I157" s="132" t="s">
        <v>363</v>
      </c>
      <c r="J157" s="132" t="s">
        <v>364</v>
      </c>
      <c r="K157" s="132">
        <v>-8.75</v>
      </c>
      <c r="L157" s="132" t="s">
        <v>365</v>
      </c>
      <c r="M157" s="132" t="s">
        <v>587</v>
      </c>
      <c r="N157" s="498" t="s">
        <v>588</v>
      </c>
    </row>
    <row r="158" spans="1:14" ht="16" x14ac:dyDescent="0.2">
      <c r="A158" s="40" t="s">
        <v>272</v>
      </c>
      <c r="B158" s="41">
        <f t="shared" si="7"/>
        <v>-300</v>
      </c>
      <c r="C158" s="497">
        <f t="shared" si="8"/>
        <v>3071.2800000000097</v>
      </c>
      <c r="D158" s="37"/>
      <c r="E158" s="131">
        <v>20250216</v>
      </c>
      <c r="F158" s="132"/>
      <c r="G158" s="132" t="s">
        <v>362</v>
      </c>
      <c r="H158" s="132"/>
      <c r="I158" s="132" t="s">
        <v>363</v>
      </c>
      <c r="J158" s="132" t="s">
        <v>364</v>
      </c>
      <c r="K158" s="132">
        <v>-300</v>
      </c>
      <c r="L158" s="132" t="s">
        <v>365</v>
      </c>
      <c r="M158" s="132" t="s">
        <v>589</v>
      </c>
      <c r="N158" s="498" t="s">
        <v>590</v>
      </c>
    </row>
    <row r="159" spans="1:14" ht="16" x14ac:dyDescent="0.2">
      <c r="A159" s="40" t="s">
        <v>123</v>
      </c>
      <c r="B159" s="41">
        <f t="shared" si="7"/>
        <v>-323.54000000000002</v>
      </c>
      <c r="C159" s="497">
        <f t="shared" si="8"/>
        <v>2747.7400000000098</v>
      </c>
      <c r="D159" s="37"/>
      <c r="E159" s="131">
        <v>20250216</v>
      </c>
      <c r="F159" s="132"/>
      <c r="G159" s="132" t="s">
        <v>362</v>
      </c>
      <c r="H159" s="132"/>
      <c r="I159" s="132" t="s">
        <v>363</v>
      </c>
      <c r="J159" s="132" t="s">
        <v>364</v>
      </c>
      <c r="K159" s="132">
        <v>-323.54000000000002</v>
      </c>
      <c r="L159" s="132" t="s">
        <v>365</v>
      </c>
      <c r="M159" s="132" t="s">
        <v>591</v>
      </c>
      <c r="N159" s="498" t="s">
        <v>592</v>
      </c>
    </row>
    <row r="160" spans="1:14" ht="16" x14ac:dyDescent="0.2">
      <c r="A160" s="40" t="s">
        <v>110</v>
      </c>
      <c r="B160" s="41">
        <f t="shared" si="7"/>
        <v>-299.77</v>
      </c>
      <c r="C160" s="497">
        <f t="shared" si="8"/>
        <v>2447.9700000000098</v>
      </c>
      <c r="D160" s="37"/>
      <c r="E160" s="131">
        <v>20250216</v>
      </c>
      <c r="F160" s="132"/>
      <c r="G160" s="132" t="s">
        <v>362</v>
      </c>
      <c r="H160" s="132"/>
      <c r="I160" s="132" t="s">
        <v>363</v>
      </c>
      <c r="J160" s="132" t="s">
        <v>364</v>
      </c>
      <c r="K160" s="132">
        <v>-299.77</v>
      </c>
      <c r="L160" s="132" t="s">
        <v>365</v>
      </c>
      <c r="M160" s="132" t="s">
        <v>593</v>
      </c>
      <c r="N160" s="498" t="s">
        <v>594</v>
      </c>
    </row>
    <row r="161" spans="1:15" ht="16" x14ac:dyDescent="0.2">
      <c r="A161" s="40" t="s">
        <v>80</v>
      </c>
      <c r="B161" s="41">
        <f t="shared" si="7"/>
        <v>2.64</v>
      </c>
      <c r="C161" s="497">
        <f t="shared" si="8"/>
        <v>2450.6100000000097</v>
      </c>
      <c r="E161" s="131">
        <v>20250217</v>
      </c>
      <c r="F161" s="132"/>
      <c r="G161" s="132" t="s">
        <v>362</v>
      </c>
      <c r="H161" s="132"/>
      <c r="I161" s="132" t="s">
        <v>372</v>
      </c>
      <c r="J161" s="132" t="s">
        <v>373</v>
      </c>
      <c r="K161" s="132">
        <v>2.64</v>
      </c>
      <c r="L161" s="132" t="s">
        <v>374</v>
      </c>
      <c r="M161" s="132" t="s">
        <v>595</v>
      </c>
    </row>
    <row r="162" spans="1:15" ht="16" x14ac:dyDescent="0.2">
      <c r="A162" s="40" t="s">
        <v>80</v>
      </c>
      <c r="B162" s="41">
        <f t="shared" si="7"/>
        <v>2.62</v>
      </c>
      <c r="C162" s="497">
        <f t="shared" si="8"/>
        <v>2453.2300000000096</v>
      </c>
      <c r="D162" s="37"/>
      <c r="E162" s="131">
        <v>20250217</v>
      </c>
      <c r="F162" s="132"/>
      <c r="G162" s="132" t="s">
        <v>362</v>
      </c>
      <c r="H162" s="132"/>
      <c r="I162" s="132" t="s">
        <v>372</v>
      </c>
      <c r="J162" s="132" t="s">
        <v>373</v>
      </c>
      <c r="K162" s="132">
        <v>2.62</v>
      </c>
      <c r="L162" s="132" t="s">
        <v>374</v>
      </c>
      <c r="M162" s="132" t="s">
        <v>596</v>
      </c>
      <c r="N162" s="498"/>
    </row>
    <row r="163" spans="1:15" ht="16" x14ac:dyDescent="0.2">
      <c r="A163" s="40" t="s">
        <v>308</v>
      </c>
      <c r="B163" s="41">
        <f t="shared" si="7"/>
        <v>-1417</v>
      </c>
      <c r="C163" s="497">
        <f t="shared" si="8"/>
        <v>1036.2300000000096</v>
      </c>
      <c r="D163" s="37"/>
      <c r="E163" s="131">
        <v>20250217</v>
      </c>
      <c r="F163" s="132"/>
      <c r="G163" s="132" t="s">
        <v>362</v>
      </c>
      <c r="H163" s="132"/>
      <c r="I163" s="132" t="s">
        <v>363</v>
      </c>
      <c r="J163" s="132" t="s">
        <v>364</v>
      </c>
      <c r="K163" s="132">
        <v>-1417</v>
      </c>
      <c r="L163" s="132" t="s">
        <v>365</v>
      </c>
      <c r="M163" s="132" t="s">
        <v>597</v>
      </c>
      <c r="N163" s="498" t="s">
        <v>598</v>
      </c>
    </row>
    <row r="164" spans="1:15" ht="16" x14ac:dyDescent="0.2">
      <c r="A164" s="40" t="s">
        <v>80</v>
      </c>
      <c r="B164" s="41">
        <f t="shared" si="7"/>
        <v>10.17</v>
      </c>
      <c r="C164" s="497">
        <f t="shared" si="8"/>
        <v>1046.4000000000096</v>
      </c>
      <c r="D164" s="37"/>
      <c r="E164" s="131">
        <v>20250218</v>
      </c>
      <c r="F164" s="132"/>
      <c r="G164" s="132" t="s">
        <v>362</v>
      </c>
      <c r="H164" s="132"/>
      <c r="I164" s="132" t="s">
        <v>372</v>
      </c>
      <c r="J164" s="132" t="s">
        <v>373</v>
      </c>
      <c r="K164" s="132">
        <v>10.17</v>
      </c>
      <c r="L164" s="132" t="s">
        <v>374</v>
      </c>
      <c r="M164" s="132" t="s">
        <v>599</v>
      </c>
      <c r="N164" s="498"/>
    </row>
    <row r="165" spans="1:15" ht="16" x14ac:dyDescent="0.2">
      <c r="A165" s="40" t="s">
        <v>80</v>
      </c>
      <c r="B165" s="41">
        <f t="shared" si="7"/>
        <v>10.14</v>
      </c>
      <c r="C165" s="497">
        <f t="shared" si="8"/>
        <v>1056.5400000000097</v>
      </c>
      <c r="D165" s="37"/>
      <c r="E165" s="131">
        <v>20250219</v>
      </c>
      <c r="F165" s="132"/>
      <c r="G165" s="132" t="s">
        <v>362</v>
      </c>
      <c r="H165" s="132"/>
      <c r="I165" s="132" t="s">
        <v>372</v>
      </c>
      <c r="J165" s="132" t="s">
        <v>373</v>
      </c>
      <c r="K165" s="132">
        <v>10.14</v>
      </c>
      <c r="L165" s="132" t="s">
        <v>374</v>
      </c>
      <c r="M165" s="132" t="s">
        <v>600</v>
      </c>
      <c r="N165" s="498"/>
    </row>
    <row r="166" spans="1:15" ht="16" x14ac:dyDescent="0.2">
      <c r="A166" s="40" t="s">
        <v>89</v>
      </c>
      <c r="B166" s="41">
        <f t="shared" si="7"/>
        <v>70.41</v>
      </c>
      <c r="C166" s="497">
        <f t="shared" si="8"/>
        <v>1126.9500000000098</v>
      </c>
      <c r="D166" s="37"/>
      <c r="E166" s="131">
        <v>20250221</v>
      </c>
      <c r="F166" s="132"/>
      <c r="G166" s="132" t="s">
        <v>362</v>
      </c>
      <c r="H166" s="132"/>
      <c r="I166" s="132" t="s">
        <v>372</v>
      </c>
      <c r="J166" s="132" t="s">
        <v>373</v>
      </c>
      <c r="K166" s="132">
        <v>70.41</v>
      </c>
      <c r="L166" s="132" t="s">
        <v>374</v>
      </c>
      <c r="M166" s="132" t="s">
        <v>601</v>
      </c>
      <c r="N166" s="498"/>
    </row>
    <row r="167" spans="1:15" ht="16" x14ac:dyDescent="0.2">
      <c r="A167" s="40" t="s">
        <v>80</v>
      </c>
      <c r="B167" s="41">
        <f t="shared" si="7"/>
        <v>2.62</v>
      </c>
      <c r="C167" s="497">
        <f t="shared" si="8"/>
        <v>1129.5700000000097</v>
      </c>
      <c r="D167" s="37"/>
      <c r="E167" s="131">
        <v>20250221</v>
      </c>
      <c r="F167" s="132"/>
      <c r="G167" s="132" t="s">
        <v>362</v>
      </c>
      <c r="H167" s="132"/>
      <c r="I167" s="132" t="s">
        <v>372</v>
      </c>
      <c r="J167" s="132" t="s">
        <v>373</v>
      </c>
      <c r="K167" s="132">
        <v>2.62</v>
      </c>
      <c r="L167" s="132" t="s">
        <v>374</v>
      </c>
      <c r="M167" s="132" t="s">
        <v>602</v>
      </c>
      <c r="N167" s="498"/>
    </row>
    <row r="168" spans="1:15" ht="16" x14ac:dyDescent="0.2">
      <c r="A168" s="40" t="s">
        <v>91</v>
      </c>
      <c r="B168" s="41">
        <f t="shared" si="7"/>
        <v>123.5</v>
      </c>
      <c r="C168" s="497">
        <f t="shared" si="8"/>
        <v>1253.0700000000097</v>
      </c>
      <c r="D168" s="37"/>
      <c r="E168" s="131">
        <v>20250224</v>
      </c>
      <c r="F168" s="132"/>
      <c r="G168" s="132" t="s">
        <v>362</v>
      </c>
      <c r="H168" s="132"/>
      <c r="I168" s="132" t="s">
        <v>372</v>
      </c>
      <c r="J168" s="132" t="s">
        <v>373</v>
      </c>
      <c r="K168" s="132">
        <v>123.5</v>
      </c>
      <c r="L168" s="132" t="s">
        <v>374</v>
      </c>
      <c r="M168" s="132" t="s">
        <v>603</v>
      </c>
    </row>
    <row r="169" spans="1:15" ht="16" x14ac:dyDescent="0.2">
      <c r="A169" s="40" t="s">
        <v>94</v>
      </c>
      <c r="B169" s="41">
        <f t="shared" si="7"/>
        <v>-18.14</v>
      </c>
      <c r="C169" s="497">
        <f t="shared" si="8"/>
        <v>1234.9300000000096</v>
      </c>
      <c r="D169" s="37"/>
      <c r="E169" s="131">
        <v>20250224</v>
      </c>
      <c r="F169" s="132"/>
      <c r="G169" s="132" t="s">
        <v>362</v>
      </c>
      <c r="H169" s="132"/>
      <c r="I169" s="132" t="s">
        <v>368</v>
      </c>
      <c r="J169" s="132" t="s">
        <v>364</v>
      </c>
      <c r="K169" s="132">
        <v>-18.14</v>
      </c>
      <c r="L169" s="132" t="s">
        <v>369</v>
      </c>
      <c r="M169" s="132" t="s">
        <v>604</v>
      </c>
      <c r="N169" s="132"/>
      <c r="O169" t="s">
        <v>411</v>
      </c>
    </row>
    <row r="170" spans="1:15" ht="16" x14ac:dyDescent="0.2">
      <c r="A170" s="40" t="s">
        <v>100</v>
      </c>
      <c r="B170" s="41">
        <f t="shared" si="7"/>
        <v>-34.6</v>
      </c>
      <c r="C170" s="497">
        <f t="shared" si="8"/>
        <v>1200.3300000000097</v>
      </c>
      <c r="D170" s="37"/>
      <c r="E170" s="131">
        <v>20250226</v>
      </c>
      <c r="F170" s="132"/>
      <c r="G170" s="132" t="s">
        <v>362</v>
      </c>
      <c r="H170" s="133"/>
      <c r="I170" s="132" t="s">
        <v>382</v>
      </c>
      <c r="J170" s="132" t="s">
        <v>364</v>
      </c>
      <c r="K170" s="132">
        <v>-34.6</v>
      </c>
      <c r="L170" s="132" t="s">
        <v>383</v>
      </c>
      <c r="M170" s="132" t="s">
        <v>605</v>
      </c>
    </row>
    <row r="171" spans="1:15" ht="16" x14ac:dyDescent="0.2">
      <c r="A171" s="40" t="s">
        <v>80</v>
      </c>
      <c r="B171" s="41">
        <f t="shared" si="7"/>
        <v>17.670000000000002</v>
      </c>
      <c r="C171" s="497">
        <f t="shared" si="8"/>
        <v>1218.0000000000098</v>
      </c>
      <c r="D171" s="37"/>
      <c r="E171" s="131">
        <v>20250303</v>
      </c>
      <c r="F171" s="132"/>
      <c r="G171" s="132" t="s">
        <v>362</v>
      </c>
      <c r="H171" s="132"/>
      <c r="I171" s="132" t="s">
        <v>372</v>
      </c>
      <c r="J171" s="132" t="s">
        <v>373</v>
      </c>
      <c r="K171" s="132">
        <v>17.670000000000002</v>
      </c>
      <c r="L171" s="132" t="s">
        <v>374</v>
      </c>
      <c r="M171" s="132" t="s">
        <v>606</v>
      </c>
    </row>
    <row r="172" spans="1:15" ht="16" x14ac:dyDescent="0.2">
      <c r="A172" s="40" t="s">
        <v>80</v>
      </c>
      <c r="B172" s="41">
        <f t="shared" si="7"/>
        <v>2356.84</v>
      </c>
      <c r="C172" s="497">
        <f t="shared" si="8"/>
        <v>3574.8400000000101</v>
      </c>
      <c r="D172" s="37"/>
      <c r="E172" s="131">
        <v>20250304</v>
      </c>
      <c r="F172" s="132"/>
      <c r="G172" s="132" t="s">
        <v>362</v>
      </c>
      <c r="H172" s="132"/>
      <c r="I172" s="132" t="s">
        <v>372</v>
      </c>
      <c r="J172" s="132" t="s">
        <v>373</v>
      </c>
      <c r="K172" s="132">
        <v>2356.84</v>
      </c>
      <c r="L172" s="132" t="s">
        <v>374</v>
      </c>
      <c r="M172" s="132" t="s">
        <v>607</v>
      </c>
    </row>
    <row r="173" spans="1:15" ht="16" x14ac:dyDescent="0.2">
      <c r="A173" s="40" t="s">
        <v>80</v>
      </c>
      <c r="B173" s="41">
        <f t="shared" si="7"/>
        <v>2712.6</v>
      </c>
      <c r="C173" s="497">
        <f t="shared" si="8"/>
        <v>6287.4400000000096</v>
      </c>
      <c r="D173" s="37"/>
      <c r="E173" s="131">
        <v>20250305</v>
      </c>
      <c r="F173" s="132"/>
      <c r="G173" s="132" t="s">
        <v>362</v>
      </c>
      <c r="H173" s="132"/>
      <c r="I173" s="132" t="s">
        <v>372</v>
      </c>
      <c r="J173" s="132" t="s">
        <v>373</v>
      </c>
      <c r="K173" s="132">
        <v>2712.6</v>
      </c>
      <c r="L173" s="132" t="s">
        <v>374</v>
      </c>
      <c r="M173" s="132" t="s">
        <v>608</v>
      </c>
    </row>
    <row r="174" spans="1:15" ht="16" x14ac:dyDescent="0.2">
      <c r="A174" s="40" t="s">
        <v>80</v>
      </c>
      <c r="B174" s="41">
        <f t="shared" si="7"/>
        <v>482.91</v>
      </c>
      <c r="C174" s="497">
        <f t="shared" si="8"/>
        <v>6770.3500000000095</v>
      </c>
      <c r="D174" s="37"/>
      <c r="E174" s="131">
        <v>20250306</v>
      </c>
      <c r="F174" s="132"/>
      <c r="G174" s="132" t="s">
        <v>362</v>
      </c>
      <c r="H174" s="132"/>
      <c r="I174" s="132" t="s">
        <v>372</v>
      </c>
      <c r="J174" s="132" t="s">
        <v>373</v>
      </c>
      <c r="K174" s="132">
        <v>482.91</v>
      </c>
      <c r="L174" s="132" t="s">
        <v>374</v>
      </c>
      <c r="M174" s="132" t="s">
        <v>609</v>
      </c>
      <c r="N174" s="498"/>
    </row>
    <row r="175" spans="1:15" ht="16" x14ac:dyDescent="0.2">
      <c r="A175" s="40" t="s">
        <v>80</v>
      </c>
      <c r="B175" s="41">
        <f t="shared" si="7"/>
        <v>481.57</v>
      </c>
      <c r="C175" s="497">
        <f t="shared" si="8"/>
        <v>7251.9200000000092</v>
      </c>
      <c r="D175" s="37"/>
      <c r="E175" s="131">
        <v>20250307</v>
      </c>
      <c r="F175" s="132"/>
      <c r="G175" s="132" t="s">
        <v>362</v>
      </c>
      <c r="H175" s="132"/>
      <c r="I175" s="132" t="s">
        <v>372</v>
      </c>
      <c r="J175" s="132" t="s">
        <v>373</v>
      </c>
      <c r="K175" s="132">
        <v>481.57</v>
      </c>
      <c r="L175" s="132" t="s">
        <v>374</v>
      </c>
      <c r="M175" s="132" t="s">
        <v>610</v>
      </c>
      <c r="N175" s="498"/>
    </row>
    <row r="176" spans="1:15" ht="16" x14ac:dyDescent="0.2">
      <c r="A176" s="40" t="s">
        <v>133</v>
      </c>
      <c r="B176" s="41">
        <f t="shared" si="7"/>
        <v>-1.69</v>
      </c>
      <c r="C176" s="497">
        <f t="shared" si="8"/>
        <v>7250.2300000000096</v>
      </c>
      <c r="D176" s="37"/>
      <c r="E176" s="131">
        <v>20250307</v>
      </c>
      <c r="F176" s="132"/>
      <c r="G176" s="132" t="s">
        <v>362</v>
      </c>
      <c r="H176" s="133"/>
      <c r="I176" s="132" t="s">
        <v>611</v>
      </c>
      <c r="J176" s="132" t="s">
        <v>364</v>
      </c>
      <c r="K176" s="132">
        <v>-1.69</v>
      </c>
      <c r="L176" s="132" t="s">
        <v>612</v>
      </c>
      <c r="M176" s="132" t="s">
        <v>613</v>
      </c>
      <c r="N176" s="498" t="s">
        <v>614</v>
      </c>
    </row>
    <row r="177" spans="1:46" ht="16" x14ac:dyDescent="0.2">
      <c r="A177" s="40" t="s">
        <v>80</v>
      </c>
      <c r="B177" s="41">
        <f t="shared" si="7"/>
        <v>2.62</v>
      </c>
      <c r="C177" s="497">
        <f t="shared" si="8"/>
        <v>7252.8500000000095</v>
      </c>
      <c r="D177" s="37"/>
      <c r="E177" s="131">
        <v>20250310</v>
      </c>
      <c r="F177" s="132"/>
      <c r="G177" s="132" t="s">
        <v>362</v>
      </c>
      <c r="H177" s="132"/>
      <c r="I177" s="132" t="s">
        <v>372</v>
      </c>
      <c r="J177" s="132" t="s">
        <v>373</v>
      </c>
      <c r="K177" s="132">
        <v>2.62</v>
      </c>
      <c r="L177" s="132" t="s">
        <v>374</v>
      </c>
      <c r="M177" s="132" t="s">
        <v>615</v>
      </c>
      <c r="O177" s="285"/>
    </row>
    <row r="178" spans="1:46" ht="16" x14ac:dyDescent="0.2">
      <c r="A178" s="40" t="s">
        <v>80</v>
      </c>
      <c r="B178" s="41">
        <f t="shared" si="7"/>
        <v>3.79</v>
      </c>
      <c r="C178" s="497">
        <f t="shared" si="8"/>
        <v>7256.6400000000094</v>
      </c>
      <c r="D178" s="37"/>
      <c r="E178" s="131">
        <v>20250311</v>
      </c>
      <c r="F178" s="132"/>
      <c r="G178" s="132" t="s">
        <v>362</v>
      </c>
      <c r="H178" s="132"/>
      <c r="I178" s="132" t="s">
        <v>372</v>
      </c>
      <c r="J178" s="132" t="s">
        <v>373</v>
      </c>
      <c r="K178" s="132">
        <v>3.79</v>
      </c>
      <c r="L178" s="132" t="s">
        <v>374</v>
      </c>
      <c r="M178" s="132" t="s">
        <v>616</v>
      </c>
      <c r="N178" s="498"/>
    </row>
    <row r="179" spans="1:46" ht="16" x14ac:dyDescent="0.2">
      <c r="A179" s="40" t="s">
        <v>80</v>
      </c>
      <c r="B179" s="41">
        <f t="shared" si="7"/>
        <v>20.67</v>
      </c>
      <c r="C179" s="497">
        <f t="shared" si="8"/>
        <v>7277.3100000000095</v>
      </c>
      <c r="D179" s="37"/>
      <c r="E179" s="131">
        <v>20250312</v>
      </c>
      <c r="F179" s="132"/>
      <c r="G179" s="132" t="s">
        <v>362</v>
      </c>
      <c r="H179" s="132"/>
      <c r="I179" s="132" t="s">
        <v>372</v>
      </c>
      <c r="J179" s="132" t="s">
        <v>373</v>
      </c>
      <c r="K179" s="132">
        <v>20.67</v>
      </c>
      <c r="L179" s="132" t="s">
        <v>374</v>
      </c>
      <c r="M179" s="132" t="s">
        <v>617</v>
      </c>
      <c r="N179" s="498"/>
    </row>
    <row r="180" spans="1:46" ht="16" x14ac:dyDescent="0.2">
      <c r="A180" s="40" t="s">
        <v>80</v>
      </c>
      <c r="B180" s="41">
        <f t="shared" si="7"/>
        <v>7.31</v>
      </c>
      <c r="C180" s="497">
        <f t="shared" si="8"/>
        <v>7284.6200000000099</v>
      </c>
      <c r="D180" s="37"/>
      <c r="E180" s="131">
        <v>20250313</v>
      </c>
      <c r="F180" s="132"/>
      <c r="G180" s="132" t="s">
        <v>362</v>
      </c>
      <c r="H180" s="132"/>
      <c r="I180" s="132" t="s">
        <v>372</v>
      </c>
      <c r="J180" s="132" t="s">
        <v>373</v>
      </c>
      <c r="K180" s="132">
        <v>7.31</v>
      </c>
      <c r="L180" s="132" t="s">
        <v>374</v>
      </c>
      <c r="M180" s="132" t="s">
        <v>618</v>
      </c>
      <c r="N180" s="498"/>
    </row>
    <row r="181" spans="1:46" ht="16" x14ac:dyDescent="0.2">
      <c r="A181" s="97" t="s">
        <v>80</v>
      </c>
      <c r="B181" s="41">
        <f t="shared" si="7"/>
        <v>24.75</v>
      </c>
      <c r="C181" s="497">
        <f t="shared" si="8"/>
        <v>7309.3700000000099</v>
      </c>
      <c r="D181" s="277"/>
      <c r="E181" s="131">
        <v>20250314</v>
      </c>
      <c r="F181" s="132"/>
      <c r="G181" s="132" t="s">
        <v>362</v>
      </c>
      <c r="H181" s="132"/>
      <c r="I181" s="132" t="s">
        <v>372</v>
      </c>
      <c r="J181" s="132" t="s">
        <v>373</v>
      </c>
      <c r="K181" s="132">
        <v>24.75</v>
      </c>
      <c r="L181" s="132" t="s">
        <v>374</v>
      </c>
      <c r="M181" s="132" t="s">
        <v>619</v>
      </c>
      <c r="N181" s="96"/>
      <c r="O181" s="96"/>
    </row>
    <row r="182" spans="1:46" s="144" customFormat="1" ht="16" x14ac:dyDescent="0.2">
      <c r="A182" s="40" t="s">
        <v>103</v>
      </c>
      <c r="B182" s="41">
        <f t="shared" si="7"/>
        <v>-30.25</v>
      </c>
      <c r="C182" s="497">
        <f t="shared" si="8"/>
        <v>7279.1200000000099</v>
      </c>
      <c r="D182" s="37"/>
      <c r="E182" s="131">
        <v>20250314</v>
      </c>
      <c r="F182" s="132"/>
      <c r="G182" s="132" t="s">
        <v>362</v>
      </c>
      <c r="H182" s="132"/>
      <c r="I182" s="132" t="s">
        <v>368</v>
      </c>
      <c r="J182" s="132" t="s">
        <v>364</v>
      </c>
      <c r="K182" s="132">
        <v>-30.25</v>
      </c>
      <c r="L182" s="132" t="s">
        <v>369</v>
      </c>
      <c r="M182" s="132" t="s">
        <v>620</v>
      </c>
      <c r="N182" s="132"/>
      <c r="O182"/>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row>
    <row r="183" spans="1:46" ht="16" x14ac:dyDescent="0.2">
      <c r="A183" t="s">
        <v>335</v>
      </c>
      <c r="B183" s="41">
        <f t="shared" si="7"/>
        <v>-35.82</v>
      </c>
      <c r="C183" s="497">
        <f t="shared" si="8"/>
        <v>7243.3000000000102</v>
      </c>
      <c r="D183" s="37"/>
      <c r="E183" s="131">
        <v>20250317</v>
      </c>
      <c r="F183" s="132"/>
      <c r="G183" s="132" t="s">
        <v>362</v>
      </c>
      <c r="H183" s="132"/>
      <c r="I183" s="132" t="s">
        <v>363</v>
      </c>
      <c r="J183" s="132" t="s">
        <v>364</v>
      </c>
      <c r="K183" s="132">
        <v>-35.82</v>
      </c>
      <c r="L183" s="132" t="s">
        <v>365</v>
      </c>
      <c r="M183" s="132" t="s">
        <v>621</v>
      </c>
      <c r="N183" s="132" t="s">
        <v>622</v>
      </c>
    </row>
    <row r="184" spans="1:46" ht="16" x14ac:dyDescent="0.2">
      <c r="A184" s="40" t="s">
        <v>133</v>
      </c>
      <c r="B184" s="41">
        <f t="shared" si="7"/>
        <v>-249.62</v>
      </c>
      <c r="C184" s="497">
        <f t="shared" si="8"/>
        <v>6993.6800000000103</v>
      </c>
      <c r="D184" s="37"/>
      <c r="E184" s="131">
        <v>20250317</v>
      </c>
      <c r="F184" s="132"/>
      <c r="G184" s="132" t="s">
        <v>362</v>
      </c>
      <c r="H184" s="132"/>
      <c r="I184" s="132" t="s">
        <v>363</v>
      </c>
      <c r="J184" s="132" t="s">
        <v>364</v>
      </c>
      <c r="K184" s="132">
        <v>-249.62</v>
      </c>
      <c r="L184" s="132" t="s">
        <v>365</v>
      </c>
      <c r="M184" s="132" t="s">
        <v>623</v>
      </c>
      <c r="N184" s="132" t="s">
        <v>624</v>
      </c>
    </row>
    <row r="185" spans="1:46" ht="16" x14ac:dyDescent="0.2">
      <c r="A185" s="40" t="s">
        <v>248</v>
      </c>
      <c r="B185" s="41">
        <f t="shared" si="7"/>
        <v>-57</v>
      </c>
      <c r="C185" s="497">
        <f t="shared" si="8"/>
        <v>6936.6800000000103</v>
      </c>
      <c r="D185" s="37"/>
      <c r="E185" s="131">
        <v>20250317</v>
      </c>
      <c r="F185" s="132"/>
      <c r="G185" s="132" t="s">
        <v>362</v>
      </c>
      <c r="H185" s="132"/>
      <c r="I185" s="132" t="s">
        <v>363</v>
      </c>
      <c r="J185" s="132" t="s">
        <v>364</v>
      </c>
      <c r="K185" s="132">
        <v>-57</v>
      </c>
      <c r="L185" s="132" t="s">
        <v>365</v>
      </c>
      <c r="M185" s="132" t="s">
        <v>625</v>
      </c>
      <c r="N185" s="132" t="s">
        <v>626</v>
      </c>
    </row>
    <row r="186" spans="1:46" ht="16" x14ac:dyDescent="0.2">
      <c r="A186" s="40" t="s">
        <v>123</v>
      </c>
      <c r="B186" s="41">
        <f t="shared" si="7"/>
        <v>-371.51</v>
      </c>
      <c r="C186" s="497">
        <f t="shared" si="8"/>
        <v>6565.1700000000101</v>
      </c>
      <c r="D186" s="37"/>
      <c r="E186" s="131">
        <v>20250317</v>
      </c>
      <c r="F186" s="132"/>
      <c r="G186" s="132" t="s">
        <v>362</v>
      </c>
      <c r="H186" s="132"/>
      <c r="I186" s="132" t="s">
        <v>363</v>
      </c>
      <c r="J186" s="132" t="s">
        <v>364</v>
      </c>
      <c r="K186" s="132">
        <v>-371.51</v>
      </c>
      <c r="L186" s="132" t="s">
        <v>365</v>
      </c>
      <c r="M186" s="132" t="s">
        <v>627</v>
      </c>
      <c r="N186" s="498" t="s">
        <v>628</v>
      </c>
    </row>
    <row r="187" spans="1:46" ht="16" x14ac:dyDescent="0.2">
      <c r="A187" s="40" t="s">
        <v>241</v>
      </c>
      <c r="B187" s="41">
        <f t="shared" si="7"/>
        <v>-60</v>
      </c>
      <c r="C187" s="497">
        <f t="shared" si="8"/>
        <v>6505.1700000000101</v>
      </c>
      <c r="D187" s="37"/>
      <c r="E187" s="131">
        <v>20250317</v>
      </c>
      <c r="F187" s="132"/>
      <c r="G187" s="132" t="s">
        <v>362</v>
      </c>
      <c r="H187" s="132"/>
      <c r="I187" s="132" t="s">
        <v>363</v>
      </c>
      <c r="J187" s="132" t="s">
        <v>364</v>
      </c>
      <c r="K187" s="132">
        <v>-60</v>
      </c>
      <c r="L187" s="132" t="s">
        <v>365</v>
      </c>
      <c r="M187" s="132" t="s">
        <v>629</v>
      </c>
      <c r="N187" s="498" t="s">
        <v>630</v>
      </c>
    </row>
    <row r="188" spans="1:46" ht="16" x14ac:dyDescent="0.2">
      <c r="A188" s="40" t="s">
        <v>135</v>
      </c>
      <c r="B188" s="41">
        <f t="shared" si="7"/>
        <v>-25.95</v>
      </c>
      <c r="C188" s="497">
        <f t="shared" si="8"/>
        <v>6479.2200000000103</v>
      </c>
      <c r="D188" s="37"/>
      <c r="E188" s="131">
        <v>20250317</v>
      </c>
      <c r="F188" s="132"/>
      <c r="G188" s="132" t="s">
        <v>362</v>
      </c>
      <c r="H188" s="132"/>
      <c r="I188" s="132" t="s">
        <v>363</v>
      </c>
      <c r="J188" s="132" t="s">
        <v>364</v>
      </c>
      <c r="K188" s="132">
        <v>-25.95</v>
      </c>
      <c r="L188" s="132" t="s">
        <v>365</v>
      </c>
      <c r="M188" s="132" t="s">
        <v>631</v>
      </c>
      <c r="N188" s="498" t="s">
        <v>632</v>
      </c>
    </row>
    <row r="189" spans="1:46" ht="16" x14ac:dyDescent="0.2">
      <c r="A189" s="40" t="s">
        <v>134</v>
      </c>
      <c r="B189" s="41">
        <f t="shared" si="7"/>
        <v>-13.98</v>
      </c>
      <c r="C189" s="497">
        <f t="shared" si="8"/>
        <v>6465.2400000000107</v>
      </c>
      <c r="D189" s="37"/>
      <c r="E189" s="131">
        <v>20250317</v>
      </c>
      <c r="F189" s="132"/>
      <c r="G189" s="132" t="s">
        <v>362</v>
      </c>
      <c r="H189" s="132"/>
      <c r="I189" s="132" t="s">
        <v>363</v>
      </c>
      <c r="J189" s="132" t="s">
        <v>364</v>
      </c>
      <c r="K189" s="132">
        <v>-13.98</v>
      </c>
      <c r="L189" s="132" t="s">
        <v>365</v>
      </c>
      <c r="M189" s="132" t="s">
        <v>633</v>
      </c>
      <c r="N189" s="498" t="s">
        <v>634</v>
      </c>
    </row>
    <row r="190" spans="1:46" ht="16" x14ac:dyDescent="0.2">
      <c r="A190" s="40" t="s">
        <v>170</v>
      </c>
      <c r="B190" s="41">
        <f t="shared" si="7"/>
        <v>-97</v>
      </c>
      <c r="C190" s="497">
        <f t="shared" si="8"/>
        <v>6368.2400000000107</v>
      </c>
      <c r="D190" s="37"/>
      <c r="E190" s="131">
        <v>20250317</v>
      </c>
      <c r="F190" s="132"/>
      <c r="G190" s="132" t="s">
        <v>362</v>
      </c>
      <c r="H190" s="132"/>
      <c r="I190" s="132" t="s">
        <v>363</v>
      </c>
      <c r="J190" s="132" t="s">
        <v>364</v>
      </c>
      <c r="K190" s="132">
        <v>-97</v>
      </c>
      <c r="L190" s="132" t="s">
        <v>365</v>
      </c>
      <c r="M190" s="132" t="s">
        <v>635</v>
      </c>
      <c r="N190" s="498" t="s">
        <v>636</v>
      </c>
    </row>
    <row r="191" spans="1:46" ht="16" x14ac:dyDescent="0.2">
      <c r="A191" s="40" t="s">
        <v>133</v>
      </c>
      <c r="B191" s="41">
        <f t="shared" si="7"/>
        <v>-21.7</v>
      </c>
      <c r="C191" s="497">
        <f t="shared" si="8"/>
        <v>6346.5400000000109</v>
      </c>
      <c r="D191" s="37"/>
      <c r="E191" s="131">
        <v>20250317</v>
      </c>
      <c r="F191" s="132"/>
      <c r="G191" s="132" t="s">
        <v>362</v>
      </c>
      <c r="H191" s="132"/>
      <c r="I191" s="132" t="s">
        <v>363</v>
      </c>
      <c r="J191" s="132" t="s">
        <v>364</v>
      </c>
      <c r="K191" s="132">
        <v>-21.7</v>
      </c>
      <c r="L191" s="132" t="s">
        <v>365</v>
      </c>
      <c r="M191" s="132" t="s">
        <v>637</v>
      </c>
      <c r="N191" s="498" t="s">
        <v>638</v>
      </c>
    </row>
    <row r="192" spans="1:46" ht="16" x14ac:dyDescent="0.2">
      <c r="A192" s="97" t="s">
        <v>260</v>
      </c>
      <c r="B192" s="41">
        <f t="shared" si="7"/>
        <v>-46.28</v>
      </c>
      <c r="C192" s="497">
        <f t="shared" si="8"/>
        <v>6300.2600000000111</v>
      </c>
      <c r="D192" s="37"/>
      <c r="E192" s="131">
        <v>20250317</v>
      </c>
      <c r="F192" s="132"/>
      <c r="G192" s="132" t="s">
        <v>362</v>
      </c>
      <c r="H192" s="132"/>
      <c r="I192" s="132" t="s">
        <v>363</v>
      </c>
      <c r="J192" s="132" t="s">
        <v>364</v>
      </c>
      <c r="K192" s="132">
        <v>-46.28</v>
      </c>
      <c r="L192" s="132" t="s">
        <v>365</v>
      </c>
      <c r="M192" s="132" t="s">
        <v>639</v>
      </c>
      <c r="N192" s="498" t="s">
        <v>640</v>
      </c>
    </row>
    <row r="193" spans="1:15" ht="16" x14ac:dyDescent="0.2">
      <c r="A193" s="40" t="s">
        <v>211</v>
      </c>
      <c r="B193" s="41">
        <f t="shared" si="7"/>
        <v>-250</v>
      </c>
      <c r="C193" s="497">
        <f t="shared" si="8"/>
        <v>6050.2600000000111</v>
      </c>
      <c r="D193" s="37"/>
      <c r="E193" s="131">
        <v>20250317</v>
      </c>
      <c r="F193" s="132"/>
      <c r="G193" s="132" t="s">
        <v>362</v>
      </c>
      <c r="H193" s="132"/>
      <c r="I193" s="132" t="s">
        <v>363</v>
      </c>
      <c r="J193" s="132" t="s">
        <v>364</v>
      </c>
      <c r="K193" s="132">
        <v>-250</v>
      </c>
      <c r="L193" s="132" t="s">
        <v>365</v>
      </c>
      <c r="M193" s="132" t="s">
        <v>641</v>
      </c>
      <c r="N193" s="276" t="s">
        <v>642</v>
      </c>
    </row>
    <row r="194" spans="1:15" ht="16" x14ac:dyDescent="0.2">
      <c r="A194" s="97" t="s">
        <v>80</v>
      </c>
      <c r="B194" s="41">
        <f t="shared" si="7"/>
        <v>16.73</v>
      </c>
      <c r="C194" s="497">
        <f t="shared" si="8"/>
        <v>6066.9900000000107</v>
      </c>
      <c r="D194" s="37"/>
      <c r="E194" s="131">
        <v>20250317</v>
      </c>
      <c r="F194" s="132"/>
      <c r="G194" s="132" t="s">
        <v>362</v>
      </c>
      <c r="H194" s="132"/>
      <c r="I194" s="132" t="s">
        <v>372</v>
      </c>
      <c r="J194" s="132" t="s">
        <v>373</v>
      </c>
      <c r="K194" s="132">
        <v>16.73</v>
      </c>
      <c r="L194" s="132" t="s">
        <v>374</v>
      </c>
      <c r="M194" s="132" t="s">
        <v>643</v>
      </c>
    </row>
    <row r="195" spans="1:15" ht="16" x14ac:dyDescent="0.2">
      <c r="A195" s="97" t="s">
        <v>80</v>
      </c>
      <c r="B195" s="41">
        <f t="shared" si="7"/>
        <v>3.81</v>
      </c>
      <c r="C195" s="497">
        <f t="shared" si="8"/>
        <v>6070.8000000000111</v>
      </c>
      <c r="D195" s="37"/>
      <c r="E195" s="131">
        <v>20250317</v>
      </c>
      <c r="F195" s="132"/>
      <c r="G195" s="132" t="s">
        <v>362</v>
      </c>
      <c r="H195" s="132"/>
      <c r="I195" s="132" t="s">
        <v>372</v>
      </c>
      <c r="J195" s="132" t="s">
        <v>373</v>
      </c>
      <c r="K195" s="132">
        <v>3.81</v>
      </c>
      <c r="L195" s="132" t="s">
        <v>374</v>
      </c>
      <c r="M195" s="132" t="s">
        <v>644</v>
      </c>
    </row>
    <row r="196" spans="1:15" ht="16" x14ac:dyDescent="0.2">
      <c r="A196" s="40" t="s">
        <v>105</v>
      </c>
      <c r="B196" s="41">
        <f t="shared" si="7"/>
        <v>-43.25</v>
      </c>
      <c r="C196" s="497">
        <f t="shared" si="8"/>
        <v>6027.5500000000111</v>
      </c>
      <c r="D196" s="37"/>
      <c r="E196" s="131">
        <v>20250318</v>
      </c>
      <c r="F196" s="132"/>
      <c r="G196" s="132" t="s">
        <v>362</v>
      </c>
      <c r="H196" s="132"/>
      <c r="I196" s="132" t="s">
        <v>363</v>
      </c>
      <c r="J196" s="132" t="s">
        <v>364</v>
      </c>
      <c r="K196" s="132">
        <v>-43.25</v>
      </c>
      <c r="L196" s="132" t="s">
        <v>365</v>
      </c>
      <c r="M196" s="132" t="s">
        <v>645</v>
      </c>
      <c r="N196" s="276" t="s">
        <v>646</v>
      </c>
    </row>
    <row r="197" spans="1:15" ht="16" x14ac:dyDescent="0.2">
      <c r="A197" s="40" t="s">
        <v>304</v>
      </c>
      <c r="B197" s="41">
        <f t="shared" si="7"/>
        <v>-3925</v>
      </c>
      <c r="C197" s="497">
        <f t="shared" si="8"/>
        <v>2102.5500000000111</v>
      </c>
      <c r="D197" s="37"/>
      <c r="E197" s="131">
        <v>20250318</v>
      </c>
      <c r="F197" s="132"/>
      <c r="G197" s="132" t="s">
        <v>362</v>
      </c>
      <c r="H197" s="132"/>
      <c r="I197" s="132" t="s">
        <v>363</v>
      </c>
      <c r="J197" s="132" t="s">
        <v>364</v>
      </c>
      <c r="K197" s="132">
        <v>-3925</v>
      </c>
      <c r="L197" s="132" t="s">
        <v>365</v>
      </c>
      <c r="M197" s="132" t="s">
        <v>647</v>
      </c>
      <c r="N197" s="498" t="s">
        <v>648</v>
      </c>
    </row>
    <row r="198" spans="1:15" ht="16" x14ac:dyDescent="0.2">
      <c r="A198" s="97" t="s">
        <v>80</v>
      </c>
      <c r="B198" s="41">
        <f t="shared" si="7"/>
        <v>3.79</v>
      </c>
      <c r="C198" s="497">
        <f t="shared" si="8"/>
        <v>2106.3400000000111</v>
      </c>
      <c r="D198" s="37"/>
      <c r="E198" s="131">
        <v>20250318</v>
      </c>
      <c r="F198" s="132"/>
      <c r="G198" s="132" t="s">
        <v>362</v>
      </c>
      <c r="H198" s="132"/>
      <c r="I198" s="132" t="s">
        <v>372</v>
      </c>
      <c r="J198" s="132" t="s">
        <v>373</v>
      </c>
      <c r="K198" s="132">
        <v>3.79</v>
      </c>
      <c r="L198" s="132" t="s">
        <v>374</v>
      </c>
      <c r="M198" s="132" t="s">
        <v>649</v>
      </c>
      <c r="N198" s="498"/>
    </row>
    <row r="199" spans="1:15" ht="16" x14ac:dyDescent="0.2">
      <c r="A199" s="40" t="s">
        <v>111</v>
      </c>
      <c r="B199" s="41">
        <f t="shared" si="7"/>
        <v>-348.48</v>
      </c>
      <c r="C199" s="497">
        <f t="shared" si="8"/>
        <v>1757.860000000011</v>
      </c>
      <c r="D199" s="37"/>
      <c r="E199" s="131">
        <v>20250318</v>
      </c>
      <c r="F199" s="132"/>
      <c r="G199" s="132" t="s">
        <v>362</v>
      </c>
      <c r="H199" s="132"/>
      <c r="I199" s="132" t="s">
        <v>363</v>
      </c>
      <c r="J199" s="132" t="s">
        <v>364</v>
      </c>
      <c r="K199" s="132">
        <v>-348.48</v>
      </c>
      <c r="L199" s="132" t="s">
        <v>365</v>
      </c>
      <c r="M199" s="132" t="s">
        <v>650</v>
      </c>
      <c r="N199" s="132" t="s">
        <v>651</v>
      </c>
    </row>
    <row r="200" spans="1:15" ht="16" x14ac:dyDescent="0.2">
      <c r="A200" s="40" t="s">
        <v>205</v>
      </c>
      <c r="B200" s="41">
        <f t="shared" si="7"/>
        <v>-73.64</v>
      </c>
      <c r="C200" s="497">
        <f t="shared" si="8"/>
        <v>1684.2200000000109</v>
      </c>
      <c r="D200" s="37"/>
      <c r="E200" s="131">
        <v>20250319</v>
      </c>
      <c r="F200" s="132"/>
      <c r="G200" s="132" t="s">
        <v>362</v>
      </c>
      <c r="H200" s="132"/>
      <c r="I200" s="132" t="s">
        <v>363</v>
      </c>
      <c r="J200" s="132" t="s">
        <v>364</v>
      </c>
      <c r="K200" s="132">
        <v>-73.64</v>
      </c>
      <c r="L200" s="132" t="s">
        <v>365</v>
      </c>
      <c r="M200" s="132" t="s">
        <v>652</v>
      </c>
      <c r="N200" s="498" t="s">
        <v>653</v>
      </c>
    </row>
    <row r="201" spans="1:15" ht="16" x14ac:dyDescent="0.2">
      <c r="A201" s="40" t="s">
        <v>130</v>
      </c>
      <c r="B201" s="41">
        <f t="shared" si="7"/>
        <v>-310</v>
      </c>
      <c r="C201" s="497">
        <f t="shared" si="8"/>
        <v>1374.2200000000109</v>
      </c>
      <c r="D201" s="37"/>
      <c r="E201" s="131">
        <v>20250320</v>
      </c>
      <c r="F201" s="132"/>
      <c r="G201" s="132" t="s">
        <v>362</v>
      </c>
      <c r="H201" s="132"/>
      <c r="I201" s="132" t="s">
        <v>363</v>
      </c>
      <c r="J201" s="132" t="s">
        <v>364</v>
      </c>
      <c r="K201" s="132">
        <v>-310</v>
      </c>
      <c r="L201" s="132" t="s">
        <v>365</v>
      </c>
      <c r="M201" s="132" t="s">
        <v>654</v>
      </c>
      <c r="N201" s="498" t="s">
        <v>655</v>
      </c>
    </row>
    <row r="202" spans="1:15" ht="16" x14ac:dyDescent="0.2">
      <c r="A202" t="s">
        <v>154</v>
      </c>
      <c r="B202" s="41">
        <f t="shared" si="7"/>
        <v>-125</v>
      </c>
      <c r="C202" s="497">
        <f t="shared" si="8"/>
        <v>1249.2200000000109</v>
      </c>
      <c r="D202" s="37"/>
      <c r="E202" s="131">
        <v>20250320</v>
      </c>
      <c r="F202" s="132"/>
      <c r="G202" s="132" t="s">
        <v>362</v>
      </c>
      <c r="H202" s="132"/>
      <c r="I202" s="132" t="s">
        <v>363</v>
      </c>
      <c r="J202" s="132" t="s">
        <v>364</v>
      </c>
      <c r="K202" s="132">
        <v>-125</v>
      </c>
      <c r="L202" s="132" t="s">
        <v>365</v>
      </c>
      <c r="M202" s="132" t="s">
        <v>656</v>
      </c>
      <c r="N202" s="498" t="s">
        <v>657</v>
      </c>
    </row>
    <row r="203" spans="1:15" ht="16" x14ac:dyDescent="0.2">
      <c r="A203" s="40" t="s">
        <v>173</v>
      </c>
      <c r="B203" s="41">
        <f t="shared" si="7"/>
        <v>-46.89</v>
      </c>
      <c r="C203" s="497">
        <f t="shared" si="8"/>
        <v>1202.3300000000108</v>
      </c>
      <c r="D203" s="37"/>
      <c r="E203" s="131">
        <v>20250320</v>
      </c>
      <c r="F203" s="132"/>
      <c r="G203" s="132" t="s">
        <v>362</v>
      </c>
      <c r="H203" s="132"/>
      <c r="I203" s="132" t="s">
        <v>363</v>
      </c>
      <c r="J203" s="132" t="s">
        <v>364</v>
      </c>
      <c r="K203" s="132">
        <v>-46.89</v>
      </c>
      <c r="L203" s="132" t="s">
        <v>365</v>
      </c>
      <c r="M203" s="132" t="s">
        <v>658</v>
      </c>
      <c r="N203" s="498" t="s">
        <v>659</v>
      </c>
    </row>
    <row r="204" spans="1:15" ht="16" x14ac:dyDescent="0.2">
      <c r="A204" s="40" t="s">
        <v>89</v>
      </c>
      <c r="B204" s="41">
        <f t="shared" si="7"/>
        <v>31.61</v>
      </c>
      <c r="C204" s="497">
        <f t="shared" si="8"/>
        <v>1233.9400000000107</v>
      </c>
      <c r="D204" s="37"/>
      <c r="E204" s="131">
        <v>20250324</v>
      </c>
      <c r="F204" s="132"/>
      <c r="G204" s="132" t="s">
        <v>362</v>
      </c>
      <c r="H204" s="132"/>
      <c r="I204" s="132" t="s">
        <v>372</v>
      </c>
      <c r="J204" s="132" t="s">
        <v>373</v>
      </c>
      <c r="K204" s="132">
        <v>31.61</v>
      </c>
      <c r="L204" s="132" t="s">
        <v>374</v>
      </c>
      <c r="M204" s="132" t="s">
        <v>660</v>
      </c>
      <c r="N204" s="498"/>
    </row>
    <row r="205" spans="1:15" ht="16" x14ac:dyDescent="0.2">
      <c r="A205" s="40" t="s">
        <v>94</v>
      </c>
      <c r="B205" s="41">
        <f t="shared" si="7"/>
        <v>-18.14</v>
      </c>
      <c r="C205" s="497">
        <f t="shared" si="8"/>
        <v>1215.8000000000106</v>
      </c>
      <c r="D205" s="37"/>
      <c r="E205" s="131">
        <v>20250324</v>
      </c>
      <c r="F205" s="132"/>
      <c r="G205" s="132" t="s">
        <v>362</v>
      </c>
      <c r="H205" s="132"/>
      <c r="I205" s="132" t="s">
        <v>368</v>
      </c>
      <c r="J205" s="132" t="s">
        <v>364</v>
      </c>
      <c r="K205" s="132">
        <v>-18.14</v>
      </c>
      <c r="L205" s="132" t="s">
        <v>369</v>
      </c>
      <c r="M205" s="132" t="s">
        <v>661</v>
      </c>
      <c r="N205" s="498"/>
      <c r="O205" t="s">
        <v>411</v>
      </c>
    </row>
    <row r="206" spans="1:15" ht="16" x14ac:dyDescent="0.2">
      <c r="A206" s="40" t="s">
        <v>100</v>
      </c>
      <c r="B206" s="41">
        <f t="shared" si="7"/>
        <v>-37.74</v>
      </c>
      <c r="C206" s="497">
        <f t="shared" si="8"/>
        <v>1178.0600000000106</v>
      </c>
      <c r="D206" s="37"/>
      <c r="E206" s="131">
        <v>20250326</v>
      </c>
      <c r="F206" s="132"/>
      <c r="G206" s="132" t="s">
        <v>362</v>
      </c>
      <c r="H206" s="133"/>
      <c r="I206" s="132" t="s">
        <v>382</v>
      </c>
      <c r="J206" s="132" t="s">
        <v>364</v>
      </c>
      <c r="K206" s="132">
        <v>-37.74</v>
      </c>
      <c r="L206" s="132" t="s">
        <v>383</v>
      </c>
      <c r="M206" s="132" t="s">
        <v>662</v>
      </c>
      <c r="N206" s="498"/>
    </row>
    <row r="207" spans="1:15" ht="16" x14ac:dyDescent="0.2">
      <c r="A207" s="40" t="s">
        <v>159</v>
      </c>
      <c r="B207" s="41">
        <f t="shared" si="7"/>
        <v>-225</v>
      </c>
      <c r="C207" s="497">
        <f t="shared" si="8"/>
        <v>953.06000000001063</v>
      </c>
      <c r="D207" s="37"/>
      <c r="E207" s="131">
        <v>20250328</v>
      </c>
      <c r="F207" s="132"/>
      <c r="G207" s="132" t="s">
        <v>362</v>
      </c>
      <c r="H207" s="132"/>
      <c r="I207" s="132" t="s">
        <v>363</v>
      </c>
      <c r="J207" s="132" t="s">
        <v>364</v>
      </c>
      <c r="K207" s="132">
        <v>-225</v>
      </c>
      <c r="L207" s="132" t="s">
        <v>365</v>
      </c>
      <c r="M207" s="132" t="s">
        <v>663</v>
      </c>
      <c r="N207" s="498" t="s">
        <v>664</v>
      </c>
    </row>
    <row r="208" spans="1:15" ht="16" x14ac:dyDescent="0.2">
      <c r="A208" s="40" t="s">
        <v>204</v>
      </c>
      <c r="B208" s="41">
        <f t="shared" si="7"/>
        <v>-34.65</v>
      </c>
      <c r="C208" s="497">
        <f t="shared" si="8"/>
        <v>918.41000000001065</v>
      </c>
      <c r="D208" s="37"/>
      <c r="E208" s="131">
        <v>20250328</v>
      </c>
      <c r="F208" s="132"/>
      <c r="G208" s="132" t="s">
        <v>362</v>
      </c>
      <c r="H208" s="132"/>
      <c r="I208" s="132" t="s">
        <v>363</v>
      </c>
      <c r="J208" s="132" t="s">
        <v>364</v>
      </c>
      <c r="K208" s="132">
        <v>-34.65</v>
      </c>
      <c r="L208" s="132" t="s">
        <v>365</v>
      </c>
      <c r="M208" s="132" t="s">
        <v>665</v>
      </c>
      <c r="N208" s="498" t="s">
        <v>666</v>
      </c>
    </row>
    <row r="209" spans="1:14" ht="16" x14ac:dyDescent="0.2">
      <c r="A209" s="40" t="s">
        <v>169</v>
      </c>
      <c r="B209" s="41">
        <f t="shared" si="7"/>
        <v>-29.56</v>
      </c>
      <c r="C209" s="497">
        <f t="shared" si="8"/>
        <v>888.85000000001071</v>
      </c>
      <c r="D209" s="37"/>
      <c r="E209" s="131">
        <v>20250328</v>
      </c>
      <c r="F209" s="132"/>
      <c r="G209" s="132" t="s">
        <v>362</v>
      </c>
      <c r="H209" s="132"/>
      <c r="I209" s="132" t="s">
        <v>363</v>
      </c>
      <c r="J209" s="132" t="s">
        <v>364</v>
      </c>
      <c r="K209" s="132">
        <v>-29.56</v>
      </c>
      <c r="L209" s="132" t="s">
        <v>365</v>
      </c>
      <c r="M209" s="132" t="s">
        <v>667</v>
      </c>
      <c r="N209" s="498" t="s">
        <v>668</v>
      </c>
    </row>
    <row r="210" spans="1:14" ht="16" x14ac:dyDescent="0.2">
      <c r="A210" s="40" t="s">
        <v>317</v>
      </c>
      <c r="B210" s="41">
        <f t="shared" si="7"/>
        <v>3000</v>
      </c>
      <c r="C210" s="497">
        <f t="shared" si="8"/>
        <v>3888.8500000000108</v>
      </c>
      <c r="D210" s="37"/>
      <c r="E210" s="131">
        <v>20250330</v>
      </c>
      <c r="F210" s="132"/>
      <c r="G210" s="132" t="s">
        <v>362</v>
      </c>
      <c r="H210" s="133"/>
      <c r="I210" s="132" t="s">
        <v>363</v>
      </c>
      <c r="J210" s="132" t="s">
        <v>373</v>
      </c>
      <c r="K210" s="132">
        <v>3000</v>
      </c>
      <c r="L210" s="132" t="s">
        <v>365</v>
      </c>
      <c r="M210" s="132" t="s">
        <v>669</v>
      </c>
      <c r="N210" s="276" t="s">
        <v>670</v>
      </c>
    </row>
    <row r="211" spans="1:14" ht="16" x14ac:dyDescent="0.2">
      <c r="A211" s="40" t="s">
        <v>202</v>
      </c>
      <c r="B211" s="41">
        <f t="shared" si="7"/>
        <v>-53.7</v>
      </c>
      <c r="C211" s="497">
        <f t="shared" si="8"/>
        <v>3835.150000000011</v>
      </c>
      <c r="D211" s="37"/>
      <c r="E211" s="131">
        <v>20250402</v>
      </c>
      <c r="F211" s="132"/>
      <c r="G211" s="132" t="s">
        <v>362</v>
      </c>
      <c r="H211" s="133"/>
      <c r="I211" s="132" t="s">
        <v>611</v>
      </c>
      <c r="J211" s="132" t="s">
        <v>364</v>
      </c>
      <c r="K211" s="132">
        <v>-53.7</v>
      </c>
      <c r="L211" s="132" t="s">
        <v>612</v>
      </c>
      <c r="M211" s="132" t="s">
        <v>671</v>
      </c>
      <c r="N211" s="498" t="s">
        <v>672</v>
      </c>
    </row>
    <row r="212" spans="1:14" ht="16" x14ac:dyDescent="0.2">
      <c r="A212" s="40" t="s">
        <v>310</v>
      </c>
      <c r="B212" s="41">
        <f t="shared" si="7"/>
        <v>-6.47</v>
      </c>
      <c r="C212" s="497">
        <f t="shared" si="8"/>
        <v>3828.6800000000112</v>
      </c>
      <c r="D212" s="37"/>
      <c r="E212" s="131">
        <v>20250404</v>
      </c>
      <c r="F212" s="132"/>
      <c r="G212" s="132" t="s">
        <v>362</v>
      </c>
      <c r="H212" s="133"/>
      <c r="I212" s="132" t="s">
        <v>611</v>
      </c>
      <c r="J212" s="132" t="s">
        <v>364</v>
      </c>
      <c r="K212" s="132">
        <v>-6.47</v>
      </c>
      <c r="L212" s="132" t="s">
        <v>612</v>
      </c>
      <c r="M212" s="132" t="s">
        <v>673</v>
      </c>
      <c r="N212" s="498" t="s">
        <v>674</v>
      </c>
    </row>
    <row r="213" spans="1:14" ht="16" x14ac:dyDescent="0.2">
      <c r="A213" s="40" t="s">
        <v>310</v>
      </c>
      <c r="B213" s="41">
        <f t="shared" si="7"/>
        <v>-21.99</v>
      </c>
      <c r="C213" s="497">
        <f t="shared" si="8"/>
        <v>3806.6900000000114</v>
      </c>
      <c r="D213" s="37"/>
      <c r="E213" s="131">
        <v>20250404</v>
      </c>
      <c r="F213" s="132"/>
      <c r="G213" s="132" t="s">
        <v>362</v>
      </c>
      <c r="H213" s="133"/>
      <c r="I213" s="132" t="s">
        <v>611</v>
      </c>
      <c r="J213" s="132" t="s">
        <v>364</v>
      </c>
      <c r="K213" s="132">
        <v>-21.99</v>
      </c>
      <c r="L213" s="132" t="s">
        <v>612</v>
      </c>
      <c r="M213" s="132" t="s">
        <v>675</v>
      </c>
      <c r="N213" s="498" t="s">
        <v>674</v>
      </c>
    </row>
    <row r="214" spans="1:14" ht="16" x14ac:dyDescent="0.2">
      <c r="A214" s="40" t="s">
        <v>307</v>
      </c>
      <c r="B214" s="41">
        <f t="shared" si="7"/>
        <v>-29.73</v>
      </c>
      <c r="C214" s="497">
        <f t="shared" si="8"/>
        <v>3776.9600000000114</v>
      </c>
      <c r="D214" s="37"/>
      <c r="E214" s="131">
        <v>20250404</v>
      </c>
      <c r="F214" s="132"/>
      <c r="G214" s="132" t="s">
        <v>362</v>
      </c>
      <c r="H214" s="132"/>
      <c r="I214" s="132" t="s">
        <v>363</v>
      </c>
      <c r="J214" s="132" t="s">
        <v>364</v>
      </c>
      <c r="K214" s="132">
        <v>-29.73</v>
      </c>
      <c r="L214" s="132" t="s">
        <v>365</v>
      </c>
      <c r="M214" s="132" t="s">
        <v>676</v>
      </c>
      <c r="N214" s="498" t="s">
        <v>677</v>
      </c>
    </row>
    <row r="215" spans="1:14" ht="16" x14ac:dyDescent="0.2">
      <c r="A215" s="40" t="s">
        <v>306</v>
      </c>
      <c r="B215" s="41">
        <f t="shared" si="7"/>
        <v>-53.57</v>
      </c>
      <c r="C215" s="497">
        <f t="shared" si="8"/>
        <v>3723.3900000000112</v>
      </c>
      <c r="D215" s="37"/>
      <c r="E215" s="131">
        <v>20250406</v>
      </c>
      <c r="F215" s="132"/>
      <c r="G215" s="132" t="s">
        <v>362</v>
      </c>
      <c r="H215" s="133"/>
      <c r="I215" s="132" t="s">
        <v>611</v>
      </c>
      <c r="J215" s="132" t="s">
        <v>364</v>
      </c>
      <c r="K215" s="132">
        <v>-53.57</v>
      </c>
      <c r="L215" s="132" t="s">
        <v>612</v>
      </c>
      <c r="M215" s="132" t="s">
        <v>678</v>
      </c>
      <c r="N215" s="498" t="s">
        <v>679</v>
      </c>
    </row>
    <row r="216" spans="1:14" ht="16" x14ac:dyDescent="0.2">
      <c r="A216" s="40" t="s">
        <v>306</v>
      </c>
      <c r="B216" s="41">
        <f t="shared" si="7"/>
        <v>-30</v>
      </c>
      <c r="C216" s="497">
        <f t="shared" si="8"/>
        <v>3693.3900000000112</v>
      </c>
      <c r="D216" s="37"/>
      <c r="E216" s="131">
        <v>20250406</v>
      </c>
      <c r="F216" s="132"/>
      <c r="G216" s="132" t="s">
        <v>362</v>
      </c>
      <c r="H216" s="133"/>
      <c r="I216" s="132" t="s">
        <v>611</v>
      </c>
      <c r="J216" s="132" t="s">
        <v>364</v>
      </c>
      <c r="K216" s="132">
        <v>-30</v>
      </c>
      <c r="L216" s="132" t="s">
        <v>612</v>
      </c>
      <c r="M216" s="132" t="s">
        <v>680</v>
      </c>
      <c r="N216" s="498" t="s">
        <v>681</v>
      </c>
    </row>
    <row r="217" spans="1:14" ht="16" x14ac:dyDescent="0.2">
      <c r="A217" s="40" t="s">
        <v>306</v>
      </c>
      <c r="B217" s="41">
        <f t="shared" si="7"/>
        <v>-129.6</v>
      </c>
      <c r="C217" s="497">
        <f t="shared" si="8"/>
        <v>3563.7900000000113</v>
      </c>
      <c r="D217" s="37"/>
      <c r="E217" s="131">
        <v>20250406</v>
      </c>
      <c r="F217" s="132"/>
      <c r="G217" s="132" t="s">
        <v>362</v>
      </c>
      <c r="H217" s="133"/>
      <c r="I217" s="132" t="s">
        <v>611</v>
      </c>
      <c r="J217" s="132" t="s">
        <v>364</v>
      </c>
      <c r="K217" s="132">
        <v>-129.6</v>
      </c>
      <c r="L217" s="132" t="s">
        <v>612</v>
      </c>
      <c r="M217" s="132" t="s">
        <v>682</v>
      </c>
      <c r="N217" s="498" t="s">
        <v>683</v>
      </c>
    </row>
    <row r="218" spans="1:14" ht="16" x14ac:dyDescent="0.2">
      <c r="A218" s="40" t="s">
        <v>306</v>
      </c>
      <c r="B218" s="41">
        <f t="shared" ref="B218:B281" si="9">K218</f>
        <v>-105.41</v>
      </c>
      <c r="C218" s="497">
        <f t="shared" ref="C218:C281" si="10">C217+B218</f>
        <v>3458.3800000000115</v>
      </c>
      <c r="D218" s="37"/>
      <c r="E218" s="131">
        <v>20250406</v>
      </c>
      <c r="F218" s="132"/>
      <c r="G218" s="132" t="s">
        <v>362</v>
      </c>
      <c r="H218" s="133"/>
      <c r="I218" s="132" t="s">
        <v>611</v>
      </c>
      <c r="J218" s="132" t="s">
        <v>364</v>
      </c>
      <c r="K218" s="132">
        <v>-105.41</v>
      </c>
      <c r="L218" s="132" t="s">
        <v>612</v>
      </c>
      <c r="M218" s="132" t="s">
        <v>684</v>
      </c>
      <c r="N218" s="498" t="s">
        <v>685</v>
      </c>
    </row>
    <row r="219" spans="1:14" ht="16" x14ac:dyDescent="0.2">
      <c r="A219" s="40" t="s">
        <v>306</v>
      </c>
      <c r="B219" s="41">
        <f t="shared" si="9"/>
        <v>-61.77</v>
      </c>
      <c r="C219" s="497">
        <f t="shared" si="10"/>
        <v>3396.6100000000115</v>
      </c>
      <c r="D219" s="37"/>
      <c r="E219" s="131">
        <v>20250406</v>
      </c>
      <c r="F219" s="132"/>
      <c r="G219" s="132" t="s">
        <v>362</v>
      </c>
      <c r="H219" s="133"/>
      <c r="I219" s="132" t="s">
        <v>611</v>
      </c>
      <c r="J219" s="132" t="s">
        <v>364</v>
      </c>
      <c r="K219" s="132">
        <v>-61.77</v>
      </c>
      <c r="L219" s="132" t="s">
        <v>612</v>
      </c>
      <c r="M219" s="132" t="s">
        <v>686</v>
      </c>
      <c r="N219" s="498" t="s">
        <v>687</v>
      </c>
    </row>
    <row r="220" spans="1:14" ht="16" x14ac:dyDescent="0.2">
      <c r="A220" s="40" t="s">
        <v>306</v>
      </c>
      <c r="B220" s="41">
        <f t="shared" si="9"/>
        <v>-123.09</v>
      </c>
      <c r="C220" s="497">
        <f t="shared" si="10"/>
        <v>3273.5200000000114</v>
      </c>
      <c r="D220" s="37"/>
      <c r="E220" s="131">
        <v>20250406</v>
      </c>
      <c r="F220" s="132"/>
      <c r="G220" s="132" t="s">
        <v>362</v>
      </c>
      <c r="H220" s="133"/>
      <c r="I220" s="132" t="s">
        <v>611</v>
      </c>
      <c r="J220" s="132" t="s">
        <v>364</v>
      </c>
      <c r="K220" s="132">
        <v>-123.09</v>
      </c>
      <c r="L220" s="132" t="s">
        <v>612</v>
      </c>
      <c r="M220" s="132" t="s">
        <v>688</v>
      </c>
      <c r="N220" s="498" t="s">
        <v>689</v>
      </c>
    </row>
    <row r="221" spans="1:14" ht="16" x14ac:dyDescent="0.2">
      <c r="A221" s="40" t="s">
        <v>306</v>
      </c>
      <c r="B221" s="41">
        <f t="shared" si="9"/>
        <v>-41.52</v>
      </c>
      <c r="C221" s="497">
        <f t="shared" si="10"/>
        <v>3232.0000000000114</v>
      </c>
      <c r="D221" s="37"/>
      <c r="E221" s="131">
        <v>20250406</v>
      </c>
      <c r="F221" s="132"/>
      <c r="G221" s="132" t="s">
        <v>362</v>
      </c>
      <c r="H221" s="133"/>
      <c r="I221" s="132" t="s">
        <v>611</v>
      </c>
      <c r="J221" s="132" t="s">
        <v>364</v>
      </c>
      <c r="K221" s="132">
        <v>-41.52</v>
      </c>
      <c r="L221" s="132" t="s">
        <v>612</v>
      </c>
      <c r="M221" s="132" t="s">
        <v>690</v>
      </c>
      <c r="N221" s="498" t="s">
        <v>691</v>
      </c>
    </row>
    <row r="222" spans="1:14" ht="16" x14ac:dyDescent="0.2">
      <c r="A222" s="40" t="s">
        <v>187</v>
      </c>
      <c r="B222" s="41">
        <f t="shared" si="9"/>
        <v>1417.1</v>
      </c>
      <c r="C222" s="497">
        <f t="shared" si="10"/>
        <v>4649.1000000000113</v>
      </c>
      <c r="D222" s="37"/>
      <c r="E222" s="131">
        <v>20250408</v>
      </c>
      <c r="F222" s="132"/>
      <c r="G222" s="132" t="s">
        <v>362</v>
      </c>
      <c r="H222" s="132"/>
      <c r="I222" s="132" t="s">
        <v>372</v>
      </c>
      <c r="J222" s="132" t="s">
        <v>373</v>
      </c>
      <c r="K222" s="132">
        <v>1417.1</v>
      </c>
      <c r="L222" s="132" t="s">
        <v>374</v>
      </c>
      <c r="M222" s="132" t="s">
        <v>692</v>
      </c>
      <c r="N222" s="498"/>
    </row>
    <row r="223" spans="1:14" ht="16" x14ac:dyDescent="0.2">
      <c r="A223" s="97" t="s">
        <v>80</v>
      </c>
      <c r="B223" s="41">
        <f t="shared" si="9"/>
        <v>11.1</v>
      </c>
      <c r="C223" s="497">
        <f t="shared" si="10"/>
        <v>4660.2000000000116</v>
      </c>
      <c r="D223" s="37"/>
      <c r="E223" s="131">
        <v>20250408</v>
      </c>
      <c r="F223" s="132"/>
      <c r="G223" s="132" t="s">
        <v>362</v>
      </c>
      <c r="H223" s="132"/>
      <c r="I223" s="132" t="s">
        <v>372</v>
      </c>
      <c r="J223" s="132" t="s">
        <v>373</v>
      </c>
      <c r="K223" s="132">
        <v>11.1</v>
      </c>
      <c r="L223" s="132" t="s">
        <v>374</v>
      </c>
      <c r="M223" s="132" t="s">
        <v>693</v>
      </c>
    </row>
    <row r="224" spans="1:14" ht="16" x14ac:dyDescent="0.2">
      <c r="A224" s="97" t="s">
        <v>80</v>
      </c>
      <c r="B224" s="41">
        <f t="shared" si="9"/>
        <v>5.59</v>
      </c>
      <c r="C224" s="497">
        <f t="shared" si="10"/>
        <v>4665.7900000000118</v>
      </c>
      <c r="D224" s="37"/>
      <c r="E224" s="131">
        <v>20250408</v>
      </c>
      <c r="F224" s="132"/>
      <c r="G224" s="132" t="s">
        <v>362</v>
      </c>
      <c r="H224" s="132"/>
      <c r="I224" s="132" t="s">
        <v>372</v>
      </c>
      <c r="J224" s="132" t="s">
        <v>373</v>
      </c>
      <c r="K224" s="132">
        <v>5.59</v>
      </c>
      <c r="L224" s="132" t="s">
        <v>374</v>
      </c>
      <c r="M224" s="132" t="s">
        <v>694</v>
      </c>
    </row>
    <row r="225" spans="1:14" ht="16" x14ac:dyDescent="0.2">
      <c r="A225" s="97" t="s">
        <v>80</v>
      </c>
      <c r="B225" s="41">
        <f t="shared" si="9"/>
        <v>68.510000000000005</v>
      </c>
      <c r="C225" s="497">
        <f t="shared" si="10"/>
        <v>4734.300000000012</v>
      </c>
      <c r="D225" s="37"/>
      <c r="E225" s="131">
        <v>20250408</v>
      </c>
      <c r="F225" s="132"/>
      <c r="G225" s="132" t="s">
        <v>362</v>
      </c>
      <c r="H225" s="132"/>
      <c r="I225" s="132" t="s">
        <v>372</v>
      </c>
      <c r="J225" s="132" t="s">
        <v>373</v>
      </c>
      <c r="K225" s="132">
        <v>68.510000000000005</v>
      </c>
      <c r="L225" s="132" t="s">
        <v>374</v>
      </c>
      <c r="M225" s="132" t="s">
        <v>695</v>
      </c>
      <c r="N225" s="498"/>
    </row>
    <row r="226" spans="1:14" ht="16" x14ac:dyDescent="0.2">
      <c r="A226" s="97" t="s">
        <v>80</v>
      </c>
      <c r="B226" s="41">
        <f t="shared" si="9"/>
        <v>559.45000000000005</v>
      </c>
      <c r="C226" s="497">
        <f t="shared" si="10"/>
        <v>5293.7500000000118</v>
      </c>
      <c r="D226" s="37"/>
      <c r="E226" s="131">
        <v>20250409</v>
      </c>
      <c r="F226" s="132"/>
      <c r="G226" s="132" t="s">
        <v>362</v>
      </c>
      <c r="H226" s="132"/>
      <c r="I226" s="132" t="s">
        <v>372</v>
      </c>
      <c r="J226" s="132" t="s">
        <v>373</v>
      </c>
      <c r="K226" s="132">
        <v>559.45000000000005</v>
      </c>
      <c r="L226" s="132" t="s">
        <v>374</v>
      </c>
      <c r="M226" s="132" t="s">
        <v>696</v>
      </c>
      <c r="N226" s="498"/>
    </row>
    <row r="227" spans="1:14" ht="16" x14ac:dyDescent="0.2">
      <c r="A227" s="40" t="s">
        <v>305</v>
      </c>
      <c r="B227" s="41">
        <f t="shared" si="9"/>
        <v>-23.78</v>
      </c>
      <c r="C227" s="497">
        <f t="shared" si="10"/>
        <v>5269.9700000000121</v>
      </c>
      <c r="D227" s="37"/>
      <c r="E227" s="131">
        <v>20250410</v>
      </c>
      <c r="F227" s="132"/>
      <c r="G227" s="132" t="s">
        <v>362</v>
      </c>
      <c r="H227" s="132"/>
      <c r="I227" s="132" t="s">
        <v>363</v>
      </c>
      <c r="J227" s="132" t="s">
        <v>364</v>
      </c>
      <c r="K227" s="132">
        <v>-23.78</v>
      </c>
      <c r="L227" s="132" t="s">
        <v>365</v>
      </c>
      <c r="M227" s="132" t="s">
        <v>697</v>
      </c>
      <c r="N227" s="498" t="s">
        <v>698</v>
      </c>
    </row>
    <row r="228" spans="1:14" ht="16" x14ac:dyDescent="0.2">
      <c r="A228" s="40" t="s">
        <v>306</v>
      </c>
      <c r="B228" s="41">
        <f t="shared" si="9"/>
        <v>-779.76</v>
      </c>
      <c r="C228" s="497">
        <f t="shared" si="10"/>
        <v>4490.2100000000119</v>
      </c>
      <c r="D228" s="37"/>
      <c r="E228" s="131">
        <v>20250410</v>
      </c>
      <c r="F228" s="132"/>
      <c r="G228" s="132" t="s">
        <v>362</v>
      </c>
      <c r="H228" s="132"/>
      <c r="I228" s="132" t="s">
        <v>363</v>
      </c>
      <c r="J228" s="132" t="s">
        <v>364</v>
      </c>
      <c r="K228" s="132">
        <v>-779.76</v>
      </c>
      <c r="L228" s="132" t="s">
        <v>365</v>
      </c>
      <c r="M228" s="132" t="s">
        <v>699</v>
      </c>
      <c r="N228" s="498" t="s">
        <v>700</v>
      </c>
    </row>
    <row r="229" spans="1:14" ht="16" x14ac:dyDescent="0.2">
      <c r="A229" s="40" t="s">
        <v>306</v>
      </c>
      <c r="B229" s="41">
        <f t="shared" si="9"/>
        <v>-1467.37</v>
      </c>
      <c r="C229" s="497">
        <f t="shared" si="10"/>
        <v>3022.840000000012</v>
      </c>
      <c r="D229" s="37"/>
      <c r="E229" s="131">
        <v>20250410</v>
      </c>
      <c r="F229" s="132"/>
      <c r="G229" s="132" t="s">
        <v>362</v>
      </c>
      <c r="H229" s="132"/>
      <c r="I229" s="132" t="s">
        <v>363</v>
      </c>
      <c r="J229" s="132" t="s">
        <v>364</v>
      </c>
      <c r="K229" s="132">
        <v>-1467.37</v>
      </c>
      <c r="L229" s="132" t="s">
        <v>365</v>
      </c>
      <c r="M229" s="132" t="s">
        <v>701</v>
      </c>
      <c r="N229" s="498" t="s">
        <v>702</v>
      </c>
    </row>
    <row r="230" spans="1:14" ht="16" x14ac:dyDescent="0.2">
      <c r="A230" s="40" t="s">
        <v>310</v>
      </c>
      <c r="B230" s="41">
        <f t="shared" si="9"/>
        <v>-6.38</v>
      </c>
      <c r="C230" s="497">
        <f t="shared" si="10"/>
        <v>3016.4600000000119</v>
      </c>
      <c r="D230" s="37"/>
      <c r="E230" s="131">
        <v>20250410</v>
      </c>
      <c r="F230" s="132"/>
      <c r="G230" s="132" t="s">
        <v>362</v>
      </c>
      <c r="H230" s="132"/>
      <c r="I230" s="132" t="s">
        <v>363</v>
      </c>
      <c r="J230" s="132" t="s">
        <v>364</v>
      </c>
      <c r="K230" s="132">
        <v>-6.38</v>
      </c>
      <c r="L230" s="132" t="s">
        <v>365</v>
      </c>
      <c r="M230" s="132" t="s">
        <v>703</v>
      </c>
      <c r="N230" s="498" t="s">
        <v>704</v>
      </c>
    </row>
    <row r="231" spans="1:14" ht="16" x14ac:dyDescent="0.2">
      <c r="A231" s="40" t="s">
        <v>310</v>
      </c>
      <c r="B231" s="41">
        <f t="shared" si="9"/>
        <v>-17.940000000000001</v>
      </c>
      <c r="C231" s="497">
        <f t="shared" si="10"/>
        <v>2998.5200000000118</v>
      </c>
      <c r="D231" s="37"/>
      <c r="E231" s="131">
        <v>20250410</v>
      </c>
      <c r="F231" s="132"/>
      <c r="G231" s="132" t="s">
        <v>362</v>
      </c>
      <c r="H231" s="132"/>
      <c r="I231" s="132" t="s">
        <v>363</v>
      </c>
      <c r="J231" s="132" t="s">
        <v>364</v>
      </c>
      <c r="K231" s="132">
        <v>-17.940000000000001</v>
      </c>
      <c r="L231" s="132" t="s">
        <v>365</v>
      </c>
      <c r="M231" s="132" t="s">
        <v>703</v>
      </c>
      <c r="N231" s="498" t="s">
        <v>705</v>
      </c>
    </row>
    <row r="232" spans="1:14" ht="16" x14ac:dyDescent="0.2">
      <c r="A232" s="40" t="s">
        <v>276</v>
      </c>
      <c r="B232" s="41">
        <f t="shared" si="9"/>
        <v>-160</v>
      </c>
      <c r="C232" s="497">
        <f t="shared" si="10"/>
        <v>2838.5200000000118</v>
      </c>
      <c r="D232" s="37"/>
      <c r="E232" s="131">
        <v>20250410</v>
      </c>
      <c r="F232" s="132"/>
      <c r="G232" s="132" t="s">
        <v>362</v>
      </c>
      <c r="H232" s="132"/>
      <c r="I232" s="132" t="s">
        <v>363</v>
      </c>
      <c r="J232" s="132" t="s">
        <v>364</v>
      </c>
      <c r="K232" s="132">
        <v>-160</v>
      </c>
      <c r="L232" s="132" t="s">
        <v>365</v>
      </c>
      <c r="M232" s="132" t="s">
        <v>706</v>
      </c>
      <c r="N232" s="498" t="s">
        <v>707</v>
      </c>
    </row>
    <row r="233" spans="1:14" ht="16" x14ac:dyDescent="0.2">
      <c r="A233" s="40" t="s">
        <v>136</v>
      </c>
      <c r="B233" s="41">
        <f t="shared" si="9"/>
        <v>-33.42</v>
      </c>
      <c r="C233" s="497">
        <f t="shared" si="10"/>
        <v>2805.1000000000117</v>
      </c>
      <c r="D233" s="37"/>
      <c r="E233" s="131">
        <v>20250410</v>
      </c>
      <c r="F233" s="132"/>
      <c r="G233" s="132" t="s">
        <v>362</v>
      </c>
      <c r="H233" s="133"/>
      <c r="I233" s="132" t="s">
        <v>611</v>
      </c>
      <c r="J233" s="132" t="s">
        <v>364</v>
      </c>
      <c r="K233" s="132">
        <v>-33.42</v>
      </c>
      <c r="L233" s="132" t="s">
        <v>612</v>
      </c>
      <c r="M233" s="132" t="s">
        <v>708</v>
      </c>
      <c r="N233" s="498" t="s">
        <v>709</v>
      </c>
    </row>
    <row r="234" spans="1:14" ht="16" x14ac:dyDescent="0.2">
      <c r="A234" s="97" t="s">
        <v>80</v>
      </c>
      <c r="B234" s="41">
        <f t="shared" si="9"/>
        <v>653.51</v>
      </c>
      <c r="C234" s="497">
        <f t="shared" si="10"/>
        <v>3458.6100000000115</v>
      </c>
      <c r="D234" s="37"/>
      <c r="E234" s="131">
        <v>20250410</v>
      </c>
      <c r="F234" s="132"/>
      <c r="G234" s="132" t="s">
        <v>362</v>
      </c>
      <c r="H234" s="132"/>
      <c r="I234" s="132" t="s">
        <v>372</v>
      </c>
      <c r="J234" s="132" t="s">
        <v>373</v>
      </c>
      <c r="K234" s="132">
        <v>653.51</v>
      </c>
      <c r="L234" s="132" t="s">
        <v>374</v>
      </c>
      <c r="M234" s="132" t="s">
        <v>710</v>
      </c>
      <c r="N234" s="498"/>
    </row>
    <row r="235" spans="1:14" ht="16" x14ac:dyDescent="0.2">
      <c r="A235" s="40" t="s">
        <v>176</v>
      </c>
      <c r="B235" s="41">
        <f t="shared" si="9"/>
        <v>-1080</v>
      </c>
      <c r="C235" s="497">
        <f t="shared" si="10"/>
        <v>2378.6100000000115</v>
      </c>
      <c r="D235" s="37"/>
      <c r="E235" s="131">
        <v>20250411</v>
      </c>
      <c r="F235" s="132"/>
      <c r="G235" s="132" t="s">
        <v>362</v>
      </c>
      <c r="H235" s="132"/>
      <c r="I235" s="132" t="s">
        <v>363</v>
      </c>
      <c r="J235" s="132" t="s">
        <v>364</v>
      </c>
      <c r="K235" s="132">
        <v>-1080</v>
      </c>
      <c r="L235" s="132" t="s">
        <v>365</v>
      </c>
      <c r="M235" s="132" t="s">
        <v>711</v>
      </c>
      <c r="N235" s="498" t="s">
        <v>712</v>
      </c>
    </row>
    <row r="236" spans="1:14" ht="16" x14ac:dyDescent="0.2">
      <c r="A236" s="40" t="s">
        <v>305</v>
      </c>
      <c r="B236" s="41">
        <f t="shared" si="9"/>
        <v>-151.91999999999999</v>
      </c>
      <c r="C236" s="497">
        <f t="shared" si="10"/>
        <v>2226.6900000000114</v>
      </c>
      <c r="D236" s="37"/>
      <c r="E236" s="131">
        <v>20250411</v>
      </c>
      <c r="F236" s="132"/>
      <c r="G236" s="132" t="s">
        <v>362</v>
      </c>
      <c r="H236" s="132"/>
      <c r="I236" s="132" t="s">
        <v>363</v>
      </c>
      <c r="J236" s="132" t="s">
        <v>364</v>
      </c>
      <c r="K236" s="132">
        <v>-151.91999999999999</v>
      </c>
      <c r="L236" s="132" t="s">
        <v>365</v>
      </c>
      <c r="M236" s="132" t="s">
        <v>713</v>
      </c>
      <c r="N236" s="498" t="s">
        <v>714</v>
      </c>
    </row>
    <row r="237" spans="1:14" ht="16" x14ac:dyDescent="0.2">
      <c r="A237" s="40" t="s">
        <v>305</v>
      </c>
      <c r="B237" s="41">
        <f t="shared" si="9"/>
        <v>-96.39</v>
      </c>
      <c r="C237" s="497">
        <f t="shared" si="10"/>
        <v>2130.3000000000116</v>
      </c>
      <c r="D237" s="37"/>
      <c r="E237" s="131">
        <v>20250411</v>
      </c>
      <c r="F237" s="132"/>
      <c r="G237" s="132" t="s">
        <v>362</v>
      </c>
      <c r="H237" s="132"/>
      <c r="I237" s="132" t="s">
        <v>363</v>
      </c>
      <c r="J237" s="132" t="s">
        <v>364</v>
      </c>
      <c r="K237" s="132">
        <v>-96.39</v>
      </c>
      <c r="L237" s="132" t="s">
        <v>365</v>
      </c>
      <c r="M237" s="132" t="s">
        <v>715</v>
      </c>
      <c r="N237" s="498" t="s">
        <v>716</v>
      </c>
    </row>
    <row r="238" spans="1:14" ht="16" x14ac:dyDescent="0.2">
      <c r="A238" s="40" t="s">
        <v>305</v>
      </c>
      <c r="B238" s="41">
        <f t="shared" si="9"/>
        <v>-16.09</v>
      </c>
      <c r="C238" s="497">
        <f t="shared" si="10"/>
        <v>2114.2100000000114</v>
      </c>
      <c r="D238" s="37"/>
      <c r="E238" s="131">
        <v>20250411</v>
      </c>
      <c r="F238" s="132"/>
      <c r="G238" s="132" t="s">
        <v>362</v>
      </c>
      <c r="H238" s="132"/>
      <c r="I238" s="132" t="s">
        <v>363</v>
      </c>
      <c r="J238" s="132" t="s">
        <v>364</v>
      </c>
      <c r="K238" s="132">
        <v>-16.09</v>
      </c>
      <c r="L238" s="132" t="s">
        <v>365</v>
      </c>
      <c r="M238" s="132" t="s">
        <v>713</v>
      </c>
      <c r="N238" s="498" t="s">
        <v>717</v>
      </c>
    </row>
    <row r="239" spans="1:14" ht="16" x14ac:dyDescent="0.2">
      <c r="A239" s="97" t="s">
        <v>80</v>
      </c>
      <c r="B239" s="41">
        <f t="shared" si="9"/>
        <v>30.6</v>
      </c>
      <c r="C239" s="497">
        <f t="shared" si="10"/>
        <v>2144.8100000000113</v>
      </c>
      <c r="D239" s="37"/>
      <c r="E239" s="131">
        <v>20250411</v>
      </c>
      <c r="F239" s="132"/>
      <c r="G239" s="132" t="s">
        <v>362</v>
      </c>
      <c r="H239" s="132"/>
      <c r="I239" s="132" t="s">
        <v>372</v>
      </c>
      <c r="J239" s="132" t="s">
        <v>373</v>
      </c>
      <c r="K239" s="132">
        <v>30.6</v>
      </c>
      <c r="L239" s="132" t="s">
        <v>374</v>
      </c>
      <c r="M239" s="132" t="s">
        <v>718</v>
      </c>
    </row>
    <row r="240" spans="1:14" ht="16" x14ac:dyDescent="0.2">
      <c r="A240" s="40" t="s">
        <v>136</v>
      </c>
      <c r="B240" s="41">
        <f t="shared" si="9"/>
        <v>-161.69999999999999</v>
      </c>
      <c r="C240" s="497">
        <f t="shared" si="10"/>
        <v>1983.1100000000113</v>
      </c>
      <c r="D240" s="37"/>
      <c r="E240" s="131">
        <v>20250414</v>
      </c>
      <c r="F240" s="132"/>
      <c r="G240" s="132" t="s">
        <v>362</v>
      </c>
      <c r="H240" s="132"/>
      <c r="I240" s="132" t="s">
        <v>363</v>
      </c>
      <c r="J240" s="132" t="s">
        <v>364</v>
      </c>
      <c r="K240" s="132">
        <v>-161.69999999999999</v>
      </c>
      <c r="L240" s="132" t="s">
        <v>365</v>
      </c>
      <c r="M240" s="132" t="s">
        <v>719</v>
      </c>
      <c r="N240" s="498" t="s">
        <v>720</v>
      </c>
    </row>
    <row r="241" spans="1:14" ht="16" x14ac:dyDescent="0.2">
      <c r="A241" s="40" t="s">
        <v>289</v>
      </c>
      <c r="B241" s="41">
        <f t="shared" si="9"/>
        <v>-462</v>
      </c>
      <c r="C241" s="497">
        <f t="shared" si="10"/>
        <v>1521.1100000000113</v>
      </c>
      <c r="D241" s="37"/>
      <c r="E241" s="131">
        <v>20250414</v>
      </c>
      <c r="F241" s="132"/>
      <c r="G241" s="132" t="s">
        <v>362</v>
      </c>
      <c r="H241" s="132"/>
      <c r="I241" s="132" t="s">
        <v>363</v>
      </c>
      <c r="J241" s="132" t="s">
        <v>364</v>
      </c>
      <c r="K241" s="132">
        <v>-462</v>
      </c>
      <c r="L241" s="132" t="s">
        <v>365</v>
      </c>
      <c r="M241" s="132" t="s">
        <v>721</v>
      </c>
      <c r="N241" s="498" t="s">
        <v>722</v>
      </c>
    </row>
    <row r="242" spans="1:14" ht="16" x14ac:dyDescent="0.2">
      <c r="A242" s="97" t="s">
        <v>80</v>
      </c>
      <c r="B242" s="41">
        <f t="shared" si="9"/>
        <v>22.28</v>
      </c>
      <c r="C242" s="497">
        <f t="shared" si="10"/>
        <v>1543.3900000000112</v>
      </c>
      <c r="D242" s="37"/>
      <c r="E242" s="131">
        <v>20250414</v>
      </c>
      <c r="F242" s="132"/>
      <c r="G242" s="132" t="s">
        <v>362</v>
      </c>
      <c r="H242" s="132"/>
      <c r="I242" s="132" t="s">
        <v>372</v>
      </c>
      <c r="J242" s="132" t="s">
        <v>373</v>
      </c>
      <c r="K242" s="132">
        <v>22.28</v>
      </c>
      <c r="L242" s="132" t="s">
        <v>374</v>
      </c>
      <c r="M242" s="132" t="s">
        <v>723</v>
      </c>
    </row>
    <row r="243" spans="1:14" ht="16" x14ac:dyDescent="0.2">
      <c r="A243" s="40" t="s">
        <v>724</v>
      </c>
      <c r="B243" s="41">
        <f t="shared" si="9"/>
        <v>-57.92</v>
      </c>
      <c r="C243" s="497">
        <f t="shared" si="10"/>
        <v>1485.4700000000112</v>
      </c>
      <c r="D243" s="37"/>
      <c r="E243" s="131">
        <v>20250415</v>
      </c>
      <c r="F243" s="132"/>
      <c r="G243" s="132" t="s">
        <v>362</v>
      </c>
      <c r="H243" s="133"/>
      <c r="I243" s="132" t="s">
        <v>611</v>
      </c>
      <c r="J243" s="132" t="s">
        <v>364</v>
      </c>
      <c r="K243" s="132">
        <v>-57.92</v>
      </c>
      <c r="L243" s="132" t="s">
        <v>612</v>
      </c>
      <c r="M243" s="132" t="s">
        <v>725</v>
      </c>
      <c r="N243" s="498" t="s">
        <v>726</v>
      </c>
    </row>
    <row r="244" spans="1:14" ht="16" x14ac:dyDescent="0.2">
      <c r="A244" s="40" t="s">
        <v>103</v>
      </c>
      <c r="B244" s="41">
        <f t="shared" si="9"/>
        <v>-30.25</v>
      </c>
      <c r="C244" s="497">
        <f t="shared" si="10"/>
        <v>1455.2200000000112</v>
      </c>
      <c r="D244" s="37"/>
      <c r="E244" s="131">
        <v>20250415</v>
      </c>
      <c r="F244" s="132"/>
      <c r="G244" s="132" t="s">
        <v>362</v>
      </c>
      <c r="H244" s="132"/>
      <c r="I244" s="132" t="s">
        <v>368</v>
      </c>
      <c r="J244" s="132" t="s">
        <v>364</v>
      </c>
      <c r="K244" s="132">
        <v>-30.25</v>
      </c>
      <c r="L244" s="132" t="s">
        <v>369</v>
      </c>
      <c r="M244" s="132" t="s">
        <v>727</v>
      </c>
      <c r="N244" s="498"/>
    </row>
    <row r="245" spans="1:14" ht="16" x14ac:dyDescent="0.2">
      <c r="A245" s="40" t="s">
        <v>223</v>
      </c>
      <c r="B245" s="41">
        <f t="shared" si="9"/>
        <v>-255</v>
      </c>
      <c r="C245" s="497">
        <f t="shared" si="10"/>
        <v>1200.2200000000112</v>
      </c>
      <c r="D245" s="37"/>
      <c r="E245" s="131">
        <v>20250416</v>
      </c>
      <c r="F245" s="132"/>
      <c r="G245" s="132" t="s">
        <v>362</v>
      </c>
      <c r="H245" s="133"/>
      <c r="I245" s="132" t="s">
        <v>611</v>
      </c>
      <c r="J245" s="132" t="s">
        <v>364</v>
      </c>
      <c r="K245" s="132">
        <v>-255</v>
      </c>
      <c r="L245" s="132" t="s">
        <v>612</v>
      </c>
      <c r="M245" s="132" t="s">
        <v>728</v>
      </c>
      <c r="N245" s="498" t="s">
        <v>729</v>
      </c>
    </row>
    <row r="246" spans="1:14" ht="16" x14ac:dyDescent="0.2">
      <c r="A246" s="97" t="s">
        <v>80</v>
      </c>
      <c r="B246" s="41">
        <f t="shared" si="9"/>
        <v>35.58</v>
      </c>
      <c r="C246" s="497">
        <f t="shared" si="10"/>
        <v>1235.8000000000111</v>
      </c>
      <c r="D246" s="37"/>
      <c r="E246" s="131">
        <v>20250416</v>
      </c>
      <c r="F246" s="132"/>
      <c r="G246" s="132" t="s">
        <v>362</v>
      </c>
      <c r="H246" s="132"/>
      <c r="I246" s="132" t="s">
        <v>372</v>
      </c>
      <c r="J246" s="132" t="s">
        <v>373</v>
      </c>
      <c r="K246" s="132">
        <v>35.58</v>
      </c>
      <c r="L246" s="132" t="s">
        <v>374</v>
      </c>
      <c r="M246" s="132" t="s">
        <v>730</v>
      </c>
    </row>
    <row r="247" spans="1:14" ht="16" x14ac:dyDescent="0.2">
      <c r="A247" s="97" t="s">
        <v>80</v>
      </c>
      <c r="B247" s="41">
        <f t="shared" si="9"/>
        <v>75.069999999999993</v>
      </c>
      <c r="C247" s="497">
        <f t="shared" si="10"/>
        <v>1310.870000000011</v>
      </c>
      <c r="D247" s="37"/>
      <c r="E247" s="131">
        <v>20250417</v>
      </c>
      <c r="F247" s="132"/>
      <c r="G247" s="132" t="s">
        <v>362</v>
      </c>
      <c r="H247" s="132"/>
      <c r="I247" s="132" t="s">
        <v>372</v>
      </c>
      <c r="J247" s="132" t="s">
        <v>373</v>
      </c>
      <c r="K247" s="132">
        <v>75.069999999999993</v>
      </c>
      <c r="L247" s="132" t="s">
        <v>374</v>
      </c>
      <c r="M247" s="132" t="s">
        <v>731</v>
      </c>
      <c r="N247" s="498"/>
    </row>
    <row r="248" spans="1:14" ht="16" x14ac:dyDescent="0.2">
      <c r="A248" s="40" t="s">
        <v>224</v>
      </c>
      <c r="B248" s="41">
        <f t="shared" si="9"/>
        <v>-13.74</v>
      </c>
      <c r="C248" s="497">
        <f t="shared" si="10"/>
        <v>1297.130000000011</v>
      </c>
      <c r="D248" s="37"/>
      <c r="E248" s="131">
        <v>20250418</v>
      </c>
      <c r="F248" s="132"/>
      <c r="G248" s="132" t="s">
        <v>362</v>
      </c>
      <c r="H248" s="132"/>
      <c r="I248" s="132" t="s">
        <v>363</v>
      </c>
      <c r="J248" s="132" t="s">
        <v>364</v>
      </c>
      <c r="K248" s="132">
        <v>-13.74</v>
      </c>
      <c r="L248" s="132" t="s">
        <v>365</v>
      </c>
      <c r="M248" s="132" t="s">
        <v>732</v>
      </c>
      <c r="N248" s="498" t="s">
        <v>733</v>
      </c>
    </row>
    <row r="249" spans="1:14" ht="16" x14ac:dyDescent="0.2">
      <c r="A249" s="40" t="s">
        <v>224</v>
      </c>
      <c r="B249" s="41">
        <f t="shared" si="9"/>
        <v>-14.64</v>
      </c>
      <c r="C249" s="497">
        <f t="shared" si="10"/>
        <v>1282.4900000000109</v>
      </c>
      <c r="D249" s="37"/>
      <c r="E249" s="131">
        <v>20250418</v>
      </c>
      <c r="F249" s="132"/>
      <c r="G249" s="132" t="s">
        <v>362</v>
      </c>
      <c r="H249" s="132"/>
      <c r="I249" s="132" t="s">
        <v>363</v>
      </c>
      <c r="J249" s="132" t="s">
        <v>364</v>
      </c>
      <c r="K249" s="132">
        <v>-14.64</v>
      </c>
      <c r="L249" s="132" t="s">
        <v>365</v>
      </c>
      <c r="M249" s="132" t="s">
        <v>734</v>
      </c>
      <c r="N249" s="498" t="s">
        <v>735</v>
      </c>
    </row>
    <row r="250" spans="1:14" ht="16" x14ac:dyDescent="0.2">
      <c r="A250" s="40" t="s">
        <v>255</v>
      </c>
      <c r="B250" s="41">
        <f t="shared" si="9"/>
        <v>-19.86</v>
      </c>
      <c r="C250" s="497">
        <f t="shared" si="10"/>
        <v>1262.630000000011</v>
      </c>
      <c r="D250" s="37"/>
      <c r="E250" s="131">
        <v>20250418</v>
      </c>
      <c r="F250" s="132"/>
      <c r="G250" s="132" t="s">
        <v>362</v>
      </c>
      <c r="H250" s="132"/>
      <c r="I250" s="132" t="s">
        <v>363</v>
      </c>
      <c r="J250" s="132" t="s">
        <v>364</v>
      </c>
      <c r="K250" s="132">
        <v>-19.86</v>
      </c>
      <c r="L250" s="132" t="s">
        <v>365</v>
      </c>
      <c r="M250" s="132" t="s">
        <v>736</v>
      </c>
      <c r="N250" s="498" t="s">
        <v>737</v>
      </c>
    </row>
    <row r="251" spans="1:14" ht="16" x14ac:dyDescent="0.2">
      <c r="A251" s="40" t="s">
        <v>255</v>
      </c>
      <c r="B251" s="41">
        <f t="shared" si="9"/>
        <v>-113.16</v>
      </c>
      <c r="C251" s="497">
        <f t="shared" si="10"/>
        <v>1149.4700000000109</v>
      </c>
      <c r="D251" s="37"/>
      <c r="E251" s="131">
        <v>20250418</v>
      </c>
      <c r="F251" s="132"/>
      <c r="G251" s="132" t="s">
        <v>362</v>
      </c>
      <c r="H251" s="132"/>
      <c r="I251" s="132" t="s">
        <v>363</v>
      </c>
      <c r="J251" s="132" t="s">
        <v>364</v>
      </c>
      <c r="K251" s="132">
        <v>-113.16</v>
      </c>
      <c r="L251" s="132" t="s">
        <v>365</v>
      </c>
      <c r="M251" s="132" t="s">
        <v>738</v>
      </c>
      <c r="N251" s="498" t="s">
        <v>739</v>
      </c>
    </row>
    <row r="252" spans="1:14" ht="16" x14ac:dyDescent="0.2">
      <c r="A252" s="40" t="s">
        <v>254</v>
      </c>
      <c r="B252" s="41">
        <f t="shared" si="9"/>
        <v>-140</v>
      </c>
      <c r="C252" s="497">
        <f t="shared" si="10"/>
        <v>1009.4700000000109</v>
      </c>
      <c r="D252" s="37"/>
      <c r="E252" s="131">
        <v>20250418</v>
      </c>
      <c r="F252" s="132"/>
      <c r="G252" s="132" t="s">
        <v>362</v>
      </c>
      <c r="H252" s="132"/>
      <c r="I252" s="132" t="s">
        <v>363</v>
      </c>
      <c r="J252" s="132" t="s">
        <v>364</v>
      </c>
      <c r="K252" s="132">
        <v>-140</v>
      </c>
      <c r="L252" s="132" t="s">
        <v>365</v>
      </c>
      <c r="M252" s="132" t="s">
        <v>740</v>
      </c>
      <c r="N252" s="498" t="s">
        <v>741</v>
      </c>
    </row>
    <row r="253" spans="1:14" ht="16" x14ac:dyDescent="0.2">
      <c r="A253" s="40" t="s">
        <v>255</v>
      </c>
      <c r="B253" s="41">
        <f t="shared" si="9"/>
        <v>-12.94</v>
      </c>
      <c r="C253" s="497">
        <f t="shared" si="10"/>
        <v>996.53000000001089</v>
      </c>
      <c r="D253" s="37"/>
      <c r="E253" s="131">
        <v>20250418</v>
      </c>
      <c r="F253" s="132"/>
      <c r="G253" s="132" t="s">
        <v>362</v>
      </c>
      <c r="H253" s="132"/>
      <c r="I253" s="132" t="s">
        <v>363</v>
      </c>
      <c r="J253" s="132" t="s">
        <v>364</v>
      </c>
      <c r="K253" s="132">
        <v>-12.94</v>
      </c>
      <c r="L253" s="132" t="s">
        <v>365</v>
      </c>
      <c r="M253" s="132" t="s">
        <v>742</v>
      </c>
      <c r="N253" s="498" t="s">
        <v>743</v>
      </c>
    </row>
    <row r="254" spans="1:14" ht="16" x14ac:dyDescent="0.2">
      <c r="A254" s="40" t="s">
        <v>297</v>
      </c>
      <c r="B254" s="41">
        <f t="shared" si="9"/>
        <v>-3030</v>
      </c>
      <c r="C254" s="497">
        <f t="shared" si="10"/>
        <v>-2033.4699999999891</v>
      </c>
      <c r="D254" s="37"/>
      <c r="E254" s="131">
        <v>20250418</v>
      </c>
      <c r="F254" s="132"/>
      <c r="G254" s="132" t="s">
        <v>362</v>
      </c>
      <c r="H254" s="132"/>
      <c r="I254" s="132" t="s">
        <v>363</v>
      </c>
      <c r="J254" s="132" t="s">
        <v>364</v>
      </c>
      <c r="K254" s="132">
        <v>-3030</v>
      </c>
      <c r="L254" s="132" t="s">
        <v>365</v>
      </c>
      <c r="M254" s="132" t="s">
        <v>744</v>
      </c>
      <c r="N254" s="498" t="s">
        <v>745</v>
      </c>
    </row>
    <row r="255" spans="1:14" ht="16" x14ac:dyDescent="0.2">
      <c r="A255" s="40" t="s">
        <v>317</v>
      </c>
      <c r="B255" s="41">
        <f t="shared" si="9"/>
        <v>4000</v>
      </c>
      <c r="C255" s="497">
        <f t="shared" si="10"/>
        <v>1966.5300000000109</v>
      </c>
      <c r="D255" s="37"/>
      <c r="E255" s="131">
        <v>20250418</v>
      </c>
      <c r="F255" s="132"/>
      <c r="G255" s="132" t="s">
        <v>362</v>
      </c>
      <c r="H255" s="133"/>
      <c r="I255" s="132" t="s">
        <v>363</v>
      </c>
      <c r="J255" s="132" t="s">
        <v>373</v>
      </c>
      <c r="K255" s="132">
        <v>4000</v>
      </c>
      <c r="L255" s="132" t="s">
        <v>365</v>
      </c>
      <c r="M255" s="132" t="s">
        <v>746</v>
      </c>
      <c r="N255" s="498" t="s">
        <v>747</v>
      </c>
    </row>
    <row r="256" spans="1:14" ht="16" x14ac:dyDescent="0.2">
      <c r="A256" s="40" t="s">
        <v>305</v>
      </c>
      <c r="B256" s="41">
        <f t="shared" si="9"/>
        <v>-1250</v>
      </c>
      <c r="C256" s="497">
        <f t="shared" si="10"/>
        <v>716.53000000001089</v>
      </c>
      <c r="D256" s="37"/>
      <c r="E256" s="131">
        <v>20250418</v>
      </c>
      <c r="F256" s="132"/>
      <c r="G256" s="132" t="s">
        <v>362</v>
      </c>
      <c r="H256" s="132"/>
      <c r="I256" s="132" t="s">
        <v>363</v>
      </c>
      <c r="J256" s="132" t="s">
        <v>364</v>
      </c>
      <c r="K256" s="132">
        <v>-1250</v>
      </c>
      <c r="L256" s="132" t="s">
        <v>365</v>
      </c>
      <c r="M256" s="132" t="s">
        <v>748</v>
      </c>
      <c r="N256" s="498" t="s">
        <v>749</v>
      </c>
    </row>
    <row r="257" spans="1:15" ht="16" x14ac:dyDescent="0.2">
      <c r="A257" s="40" t="s">
        <v>136</v>
      </c>
      <c r="B257" s="41">
        <f t="shared" si="9"/>
        <v>-74.7</v>
      </c>
      <c r="C257" s="497">
        <f t="shared" si="10"/>
        <v>641.83000000001084</v>
      </c>
      <c r="D257" s="37"/>
      <c r="E257" s="131">
        <v>20250421</v>
      </c>
      <c r="F257" s="132"/>
      <c r="G257" s="132" t="s">
        <v>362</v>
      </c>
      <c r="H257" s="132"/>
      <c r="I257" s="132" t="s">
        <v>363</v>
      </c>
      <c r="J257" s="132" t="s">
        <v>364</v>
      </c>
      <c r="K257" s="132">
        <v>-74.7</v>
      </c>
      <c r="L257" s="132" t="s">
        <v>365</v>
      </c>
      <c r="M257" s="132" t="s">
        <v>750</v>
      </c>
      <c r="N257" s="498" t="s">
        <v>751</v>
      </c>
    </row>
    <row r="258" spans="1:15" ht="16" x14ac:dyDescent="0.2">
      <c r="A258" s="97" t="s">
        <v>80</v>
      </c>
      <c r="B258" s="41">
        <f t="shared" si="9"/>
        <v>133.68</v>
      </c>
      <c r="C258" s="497">
        <f t="shared" si="10"/>
        <v>775.5100000000109</v>
      </c>
      <c r="D258" s="37"/>
      <c r="E258" s="131">
        <v>20250422</v>
      </c>
      <c r="F258" s="132"/>
      <c r="G258" s="132" t="s">
        <v>362</v>
      </c>
      <c r="H258" s="132"/>
      <c r="I258" s="132" t="s">
        <v>372</v>
      </c>
      <c r="J258" s="132" t="s">
        <v>373</v>
      </c>
      <c r="K258" s="132">
        <v>133.68</v>
      </c>
      <c r="L258" s="132" t="s">
        <v>374</v>
      </c>
      <c r="M258" s="132" t="s">
        <v>752</v>
      </c>
    </row>
    <row r="259" spans="1:15" ht="16" x14ac:dyDescent="0.2">
      <c r="A259" s="40" t="s">
        <v>94</v>
      </c>
      <c r="B259" s="41">
        <f t="shared" si="9"/>
        <v>-18.14</v>
      </c>
      <c r="C259" s="497">
        <f t="shared" si="10"/>
        <v>757.37000000001092</v>
      </c>
      <c r="D259" s="37"/>
      <c r="E259" s="131">
        <v>20250422</v>
      </c>
      <c r="F259" s="132"/>
      <c r="G259" s="132" t="s">
        <v>362</v>
      </c>
      <c r="H259" s="132"/>
      <c r="I259" s="132" t="s">
        <v>368</v>
      </c>
      <c r="J259" s="132" t="s">
        <v>364</v>
      </c>
      <c r="K259" s="132">
        <v>-18.14</v>
      </c>
      <c r="L259" s="132" t="s">
        <v>369</v>
      </c>
      <c r="M259" s="132" t="s">
        <v>753</v>
      </c>
      <c r="N259" s="498"/>
      <c r="O259" t="s">
        <v>411</v>
      </c>
    </row>
    <row r="260" spans="1:15" ht="16" x14ac:dyDescent="0.2">
      <c r="A260" s="40" t="s">
        <v>307</v>
      </c>
      <c r="B260" s="41">
        <f t="shared" si="9"/>
        <v>500</v>
      </c>
      <c r="C260" s="497">
        <f t="shared" si="10"/>
        <v>1257.3700000000108</v>
      </c>
      <c r="D260" s="37"/>
      <c r="E260" s="131">
        <v>20250423</v>
      </c>
      <c r="F260" s="132"/>
      <c r="G260" s="132" t="s">
        <v>362</v>
      </c>
      <c r="H260" s="132"/>
      <c r="I260" s="132" t="s">
        <v>372</v>
      </c>
      <c r="J260" s="132" t="s">
        <v>373</v>
      </c>
      <c r="K260" s="132">
        <v>500</v>
      </c>
      <c r="L260" s="132" t="s">
        <v>374</v>
      </c>
      <c r="M260" s="132" t="s">
        <v>754</v>
      </c>
      <c r="N260" s="498"/>
    </row>
    <row r="261" spans="1:15" ht="16" x14ac:dyDescent="0.2">
      <c r="A261" s="97" t="s">
        <v>80</v>
      </c>
      <c r="B261" s="41">
        <f t="shared" si="9"/>
        <v>87.4</v>
      </c>
      <c r="C261" s="497">
        <f t="shared" si="10"/>
        <v>1344.7700000000109</v>
      </c>
      <c r="D261" s="37"/>
      <c r="E261" s="131">
        <v>20250423</v>
      </c>
      <c r="F261" s="132"/>
      <c r="G261" s="132" t="s">
        <v>362</v>
      </c>
      <c r="H261" s="132"/>
      <c r="I261" s="132" t="s">
        <v>372</v>
      </c>
      <c r="J261" s="132" t="s">
        <v>373</v>
      </c>
      <c r="K261" s="132">
        <v>87.4</v>
      </c>
      <c r="L261" s="132" t="s">
        <v>374</v>
      </c>
      <c r="M261" s="132" t="s">
        <v>755</v>
      </c>
      <c r="N261" s="498"/>
    </row>
    <row r="262" spans="1:15" ht="16" x14ac:dyDescent="0.2">
      <c r="A262" s="40" t="s">
        <v>277</v>
      </c>
      <c r="B262" s="41">
        <f t="shared" si="9"/>
        <v>-382.5</v>
      </c>
      <c r="C262" s="497">
        <f t="shared" si="10"/>
        <v>962.2700000000109</v>
      </c>
      <c r="D262" s="37"/>
      <c r="E262" s="131">
        <v>20250425</v>
      </c>
      <c r="F262" s="132"/>
      <c r="G262" s="132" t="s">
        <v>362</v>
      </c>
      <c r="H262" s="132"/>
      <c r="I262" s="132" t="s">
        <v>363</v>
      </c>
      <c r="J262" s="132" t="s">
        <v>364</v>
      </c>
      <c r="K262" s="132">
        <v>-382.5</v>
      </c>
      <c r="L262" s="132" t="s">
        <v>365</v>
      </c>
      <c r="M262" s="132" t="s">
        <v>756</v>
      </c>
      <c r="N262" s="498" t="s">
        <v>757</v>
      </c>
    </row>
    <row r="263" spans="1:15" ht="16" x14ac:dyDescent="0.2">
      <c r="A263" s="40" t="s">
        <v>249</v>
      </c>
      <c r="B263" s="41">
        <f t="shared" si="9"/>
        <v>-50.18</v>
      </c>
      <c r="C263" s="497">
        <f t="shared" si="10"/>
        <v>912.09000000001095</v>
      </c>
      <c r="D263" s="37"/>
      <c r="E263" s="131">
        <v>20250425</v>
      </c>
      <c r="F263" s="132"/>
      <c r="G263" s="132" t="s">
        <v>362</v>
      </c>
      <c r="H263" s="132"/>
      <c r="I263" s="132" t="s">
        <v>363</v>
      </c>
      <c r="J263" s="132" t="s">
        <v>364</v>
      </c>
      <c r="K263" s="132">
        <v>-50.18</v>
      </c>
      <c r="L263" s="132" t="s">
        <v>365</v>
      </c>
      <c r="M263" s="132" t="s">
        <v>758</v>
      </c>
      <c r="N263" s="498" t="s">
        <v>759</v>
      </c>
    </row>
    <row r="264" spans="1:15" ht="16" x14ac:dyDescent="0.2">
      <c r="A264" s="40" t="s">
        <v>224</v>
      </c>
      <c r="B264" s="41">
        <f t="shared" si="9"/>
        <v>-36.299999999999997</v>
      </c>
      <c r="C264" s="497">
        <f t="shared" si="10"/>
        <v>875.79000000001099</v>
      </c>
      <c r="D264" s="37"/>
      <c r="E264" s="131">
        <v>20250425</v>
      </c>
      <c r="F264" s="132"/>
      <c r="G264" s="132" t="s">
        <v>362</v>
      </c>
      <c r="H264" s="132"/>
      <c r="I264" s="132" t="s">
        <v>363</v>
      </c>
      <c r="J264" s="132" t="s">
        <v>364</v>
      </c>
      <c r="K264" s="132">
        <v>-36.299999999999997</v>
      </c>
      <c r="L264" s="132" t="s">
        <v>365</v>
      </c>
      <c r="M264" s="132" t="s">
        <v>760</v>
      </c>
      <c r="N264" s="498" t="s">
        <v>761</v>
      </c>
    </row>
    <row r="265" spans="1:15" ht="16" x14ac:dyDescent="0.2">
      <c r="A265" s="40" t="s">
        <v>100</v>
      </c>
      <c r="B265" s="41">
        <f t="shared" si="9"/>
        <v>-40.159999999999997</v>
      </c>
      <c r="C265" s="497">
        <f t="shared" si="10"/>
        <v>835.63000000001102</v>
      </c>
      <c r="D265" s="37"/>
      <c r="E265" s="131">
        <v>20250426</v>
      </c>
      <c r="F265" s="132"/>
      <c r="G265" s="132" t="s">
        <v>362</v>
      </c>
      <c r="H265" s="133"/>
      <c r="I265" s="132" t="s">
        <v>382</v>
      </c>
      <c r="J265" s="132" t="s">
        <v>364</v>
      </c>
      <c r="K265" s="132">
        <v>-40.159999999999997</v>
      </c>
      <c r="L265" s="132" t="s">
        <v>383</v>
      </c>
      <c r="M265" s="132" t="s">
        <v>762</v>
      </c>
      <c r="N265" s="498"/>
    </row>
    <row r="266" spans="1:15" ht="16" x14ac:dyDescent="0.2">
      <c r="A266" s="97" t="s">
        <v>80</v>
      </c>
      <c r="B266" s="41">
        <f t="shared" si="9"/>
        <v>212.61</v>
      </c>
      <c r="C266" s="497">
        <f t="shared" si="10"/>
        <v>1048.2400000000112</v>
      </c>
      <c r="D266" s="37"/>
      <c r="E266" s="131">
        <v>20250428</v>
      </c>
      <c r="F266" s="132"/>
      <c r="G266" s="132" t="s">
        <v>362</v>
      </c>
      <c r="H266" s="132"/>
      <c r="I266" s="132" t="s">
        <v>372</v>
      </c>
      <c r="J266" s="132" t="s">
        <v>373</v>
      </c>
      <c r="K266" s="132">
        <v>212.61</v>
      </c>
      <c r="L266" s="132" t="s">
        <v>374</v>
      </c>
      <c r="M266" s="132" t="s">
        <v>763</v>
      </c>
    </row>
    <row r="267" spans="1:15" ht="16" x14ac:dyDescent="0.2">
      <c r="A267" s="97" t="s">
        <v>80</v>
      </c>
      <c r="B267" s="41">
        <f t="shared" si="9"/>
        <v>45.2</v>
      </c>
      <c r="C267" s="497">
        <f t="shared" si="10"/>
        <v>1093.4400000000112</v>
      </c>
      <c r="D267" s="37"/>
      <c r="E267" s="131">
        <v>20250429</v>
      </c>
      <c r="F267" s="132"/>
      <c r="G267" s="132" t="s">
        <v>362</v>
      </c>
      <c r="H267" s="132"/>
      <c r="I267" s="132" t="s">
        <v>372</v>
      </c>
      <c r="J267" s="132" t="s">
        <v>373</v>
      </c>
      <c r="K267" s="132">
        <v>45.2</v>
      </c>
      <c r="L267" s="132" t="s">
        <v>374</v>
      </c>
      <c r="M267" s="132" t="s">
        <v>764</v>
      </c>
      <c r="N267" s="498"/>
    </row>
    <row r="268" spans="1:15" ht="16" x14ac:dyDescent="0.2">
      <c r="A268" s="97" t="s">
        <v>80</v>
      </c>
      <c r="B268" s="41">
        <f t="shared" si="9"/>
        <v>812.18</v>
      </c>
      <c r="C268" s="497">
        <f t="shared" si="10"/>
        <v>1905.6200000000113</v>
      </c>
      <c r="D268" s="37"/>
      <c r="E268" s="131">
        <v>20250430</v>
      </c>
      <c r="F268" s="132"/>
      <c r="G268" s="132" t="s">
        <v>362</v>
      </c>
      <c r="H268" s="132"/>
      <c r="I268" s="132" t="s">
        <v>372</v>
      </c>
      <c r="J268" s="132" t="s">
        <v>373</v>
      </c>
      <c r="K268" s="132">
        <v>812.18</v>
      </c>
      <c r="L268" s="132" t="s">
        <v>374</v>
      </c>
      <c r="M268" s="132" t="s">
        <v>765</v>
      </c>
      <c r="N268" s="498"/>
    </row>
    <row r="269" spans="1:15" ht="16" x14ac:dyDescent="0.2">
      <c r="A269" s="97" t="s">
        <v>80</v>
      </c>
      <c r="B269" s="41">
        <f t="shared" si="9"/>
        <v>537.97</v>
      </c>
      <c r="C269" s="497">
        <f t="shared" si="10"/>
        <v>2443.5900000000111</v>
      </c>
      <c r="D269" s="37"/>
      <c r="E269" s="131">
        <v>20250502</v>
      </c>
      <c r="F269" s="132"/>
      <c r="G269" s="132" t="s">
        <v>362</v>
      </c>
      <c r="H269" s="132"/>
      <c r="I269" s="132" t="s">
        <v>372</v>
      </c>
      <c r="J269" s="132" t="s">
        <v>373</v>
      </c>
      <c r="K269" s="132">
        <v>537.97</v>
      </c>
      <c r="L269" s="132" t="s">
        <v>374</v>
      </c>
      <c r="M269" s="132" t="s">
        <v>766</v>
      </c>
    </row>
    <row r="270" spans="1:15" ht="16" x14ac:dyDescent="0.2">
      <c r="A270" s="97" t="s">
        <v>80</v>
      </c>
      <c r="B270" s="41">
        <f t="shared" si="9"/>
        <v>217.82</v>
      </c>
      <c r="C270" s="497">
        <f t="shared" si="10"/>
        <v>2661.4100000000112</v>
      </c>
      <c r="D270" s="37"/>
      <c r="E270" s="131">
        <v>20250505</v>
      </c>
      <c r="F270" s="132"/>
      <c r="G270" s="132" t="s">
        <v>362</v>
      </c>
      <c r="H270" s="132"/>
      <c r="I270" s="132" t="s">
        <v>372</v>
      </c>
      <c r="J270" s="132" t="s">
        <v>373</v>
      </c>
      <c r="K270" s="132">
        <v>217.82</v>
      </c>
      <c r="L270" s="132" t="s">
        <v>374</v>
      </c>
      <c r="M270" s="132" t="s">
        <v>767</v>
      </c>
    </row>
    <row r="271" spans="1:15" ht="16" x14ac:dyDescent="0.2">
      <c r="A271" s="40" t="s">
        <v>229</v>
      </c>
      <c r="B271" s="41">
        <f t="shared" si="9"/>
        <v>-62.71</v>
      </c>
      <c r="C271" s="497">
        <f t="shared" si="10"/>
        <v>2598.7000000000112</v>
      </c>
      <c r="D271" s="37"/>
      <c r="E271" s="131">
        <v>20250506</v>
      </c>
      <c r="F271" s="132"/>
      <c r="G271" s="132" t="s">
        <v>362</v>
      </c>
      <c r="H271" s="132"/>
      <c r="I271" s="132" t="s">
        <v>363</v>
      </c>
      <c r="J271" s="132" t="s">
        <v>364</v>
      </c>
      <c r="K271" s="132">
        <v>-62.71</v>
      </c>
      <c r="L271" s="132" t="s">
        <v>365</v>
      </c>
      <c r="M271" s="132" t="s">
        <v>768</v>
      </c>
      <c r="N271" s="132" t="s">
        <v>769</v>
      </c>
    </row>
    <row r="272" spans="1:15" ht="16" x14ac:dyDescent="0.2">
      <c r="A272" s="40" t="s">
        <v>286</v>
      </c>
      <c r="B272" s="41">
        <f t="shared" si="9"/>
        <v>-110.72</v>
      </c>
      <c r="C272" s="497">
        <f t="shared" si="10"/>
        <v>2487.9800000000114</v>
      </c>
      <c r="D272" s="37"/>
      <c r="E272" s="131">
        <v>20250506</v>
      </c>
      <c r="F272" s="132"/>
      <c r="G272" s="132" t="s">
        <v>362</v>
      </c>
      <c r="H272" s="132"/>
      <c r="I272" s="132" t="s">
        <v>363</v>
      </c>
      <c r="J272" s="132" t="s">
        <v>364</v>
      </c>
      <c r="K272" s="132">
        <v>-110.72</v>
      </c>
      <c r="L272" s="132" t="s">
        <v>365</v>
      </c>
      <c r="M272" s="132" t="s">
        <v>770</v>
      </c>
      <c r="N272" s="132" t="s">
        <v>771</v>
      </c>
    </row>
    <row r="273" spans="1:14" ht="16" x14ac:dyDescent="0.2">
      <c r="A273" s="97" t="s">
        <v>80</v>
      </c>
      <c r="B273" s="41">
        <f t="shared" si="9"/>
        <v>53.75</v>
      </c>
      <c r="C273" s="497">
        <f t="shared" si="10"/>
        <v>2541.7300000000114</v>
      </c>
      <c r="D273" s="37"/>
      <c r="E273" s="131">
        <v>20250506</v>
      </c>
      <c r="F273" s="132"/>
      <c r="G273" s="132" t="s">
        <v>362</v>
      </c>
      <c r="H273" s="132"/>
      <c r="I273" s="132" t="s">
        <v>372</v>
      </c>
      <c r="J273" s="132" t="s">
        <v>373</v>
      </c>
      <c r="K273" s="132">
        <v>53.75</v>
      </c>
      <c r="L273" s="132" t="s">
        <v>374</v>
      </c>
      <c r="M273" s="132" t="s">
        <v>772</v>
      </c>
    </row>
    <row r="274" spans="1:14" ht="16" x14ac:dyDescent="0.2">
      <c r="A274" s="40" t="s">
        <v>126</v>
      </c>
      <c r="B274" s="41">
        <f t="shared" si="9"/>
        <v>-55.99</v>
      </c>
      <c r="C274" s="497">
        <f t="shared" si="10"/>
        <v>2485.7400000000116</v>
      </c>
      <c r="D274" s="37"/>
      <c r="E274" s="131">
        <v>20250507</v>
      </c>
      <c r="F274" s="132"/>
      <c r="G274" s="132" t="s">
        <v>362</v>
      </c>
      <c r="H274" s="132"/>
      <c r="I274" s="132" t="s">
        <v>363</v>
      </c>
      <c r="J274" s="132" t="s">
        <v>364</v>
      </c>
      <c r="K274" s="132">
        <v>-55.99</v>
      </c>
      <c r="L274" s="132" t="s">
        <v>365</v>
      </c>
      <c r="M274" s="132" t="s">
        <v>773</v>
      </c>
      <c r="N274" s="498" t="s">
        <v>774</v>
      </c>
    </row>
    <row r="275" spans="1:14" ht="16" x14ac:dyDescent="0.2">
      <c r="A275" s="97" t="s">
        <v>80</v>
      </c>
      <c r="B275" s="41">
        <f t="shared" si="9"/>
        <v>158.33000000000001</v>
      </c>
      <c r="C275" s="497">
        <f t="shared" si="10"/>
        <v>2644.0700000000115</v>
      </c>
      <c r="D275" s="37"/>
      <c r="E275" s="131">
        <v>20250507</v>
      </c>
      <c r="F275" s="132"/>
      <c r="G275" s="132" t="s">
        <v>362</v>
      </c>
      <c r="H275" s="132"/>
      <c r="I275" s="132" t="s">
        <v>372</v>
      </c>
      <c r="J275" s="132" t="s">
        <v>373</v>
      </c>
      <c r="K275" s="132">
        <v>158.33000000000001</v>
      </c>
      <c r="L275" s="132" t="s">
        <v>374</v>
      </c>
      <c r="M275" s="132" t="s">
        <v>775</v>
      </c>
    </row>
    <row r="276" spans="1:14" ht="16" x14ac:dyDescent="0.2">
      <c r="A276" s="40" t="s">
        <v>314</v>
      </c>
      <c r="B276" s="41">
        <f t="shared" si="9"/>
        <v>9000</v>
      </c>
      <c r="C276" s="497">
        <f t="shared" si="10"/>
        <v>11644.070000000011</v>
      </c>
      <c r="D276" s="37"/>
      <c r="E276" s="131">
        <v>20250508</v>
      </c>
      <c r="F276" s="132"/>
      <c r="G276" s="132" t="s">
        <v>362</v>
      </c>
      <c r="H276" s="132"/>
      <c r="I276" s="132" t="s">
        <v>372</v>
      </c>
      <c r="J276" s="132" t="s">
        <v>373</v>
      </c>
      <c r="K276" s="132">
        <v>9000</v>
      </c>
      <c r="L276" s="132" t="s">
        <v>374</v>
      </c>
      <c r="M276" s="132" t="s">
        <v>776</v>
      </c>
      <c r="N276" s="498"/>
    </row>
    <row r="277" spans="1:14" ht="16" x14ac:dyDescent="0.2">
      <c r="A277" s="97" t="s">
        <v>80</v>
      </c>
      <c r="B277" s="41">
        <f t="shared" si="9"/>
        <v>115.64</v>
      </c>
      <c r="C277" s="497">
        <f t="shared" si="10"/>
        <v>11759.71000000001</v>
      </c>
      <c r="D277" s="37"/>
      <c r="E277" s="131">
        <v>20250508</v>
      </c>
      <c r="F277" s="132"/>
      <c r="G277" s="132" t="s">
        <v>362</v>
      </c>
      <c r="H277" s="132"/>
      <c r="I277" s="132" t="s">
        <v>372</v>
      </c>
      <c r="J277" s="132" t="s">
        <v>373</v>
      </c>
      <c r="K277" s="132">
        <v>115.64</v>
      </c>
      <c r="L277" s="132" t="s">
        <v>374</v>
      </c>
      <c r="M277" s="132" t="s">
        <v>777</v>
      </c>
      <c r="N277" s="498"/>
    </row>
    <row r="278" spans="1:14" ht="16" x14ac:dyDescent="0.2">
      <c r="A278" s="97" t="s">
        <v>80</v>
      </c>
      <c r="B278" s="41">
        <f t="shared" si="9"/>
        <v>530.80999999999995</v>
      </c>
      <c r="C278" s="497">
        <f t="shared" si="10"/>
        <v>12290.52000000001</v>
      </c>
      <c r="D278" s="37"/>
      <c r="E278" s="131">
        <v>20250509</v>
      </c>
      <c r="F278" s="132"/>
      <c r="G278" s="132" t="s">
        <v>362</v>
      </c>
      <c r="H278" s="132"/>
      <c r="I278" s="132" t="s">
        <v>372</v>
      </c>
      <c r="J278" s="132" t="s">
        <v>373</v>
      </c>
      <c r="K278" s="132">
        <v>530.80999999999995</v>
      </c>
      <c r="L278" s="132" t="s">
        <v>374</v>
      </c>
      <c r="M278" s="132" t="s">
        <v>778</v>
      </c>
    </row>
    <row r="279" spans="1:14" ht="16" x14ac:dyDescent="0.2">
      <c r="A279" s="97" t="s">
        <v>80</v>
      </c>
      <c r="B279" s="41">
        <f t="shared" si="9"/>
        <v>480.02</v>
      </c>
      <c r="C279" s="497">
        <f t="shared" si="10"/>
        <v>12770.54000000001</v>
      </c>
      <c r="D279" s="37"/>
      <c r="E279" s="131">
        <v>20250512</v>
      </c>
      <c r="F279" s="132"/>
      <c r="G279" s="132" t="s">
        <v>362</v>
      </c>
      <c r="H279" s="132"/>
      <c r="I279" s="132" t="s">
        <v>372</v>
      </c>
      <c r="J279" s="132" t="s">
        <v>373</v>
      </c>
      <c r="K279" s="132">
        <v>480.02</v>
      </c>
      <c r="L279" s="132" t="s">
        <v>374</v>
      </c>
      <c r="M279" s="132" t="s">
        <v>779</v>
      </c>
    </row>
    <row r="280" spans="1:14" ht="16" x14ac:dyDescent="0.2">
      <c r="A280" s="40" t="s">
        <v>263</v>
      </c>
      <c r="B280" s="41">
        <f t="shared" si="9"/>
        <v>-79.28</v>
      </c>
      <c r="C280" s="497">
        <f t="shared" si="10"/>
        <v>12691.260000000009</v>
      </c>
      <c r="D280" s="37"/>
      <c r="E280" s="131">
        <v>20250513</v>
      </c>
      <c r="F280" s="132"/>
      <c r="G280" s="132" t="s">
        <v>362</v>
      </c>
      <c r="H280" s="132"/>
      <c r="I280" s="132" t="s">
        <v>363</v>
      </c>
      <c r="J280" s="132" t="s">
        <v>364</v>
      </c>
      <c r="K280" s="132">
        <v>-79.28</v>
      </c>
      <c r="L280" s="132" t="s">
        <v>365</v>
      </c>
      <c r="M280" s="132" t="s">
        <v>780</v>
      </c>
      <c r="N280" s="498" t="s">
        <v>781</v>
      </c>
    </row>
    <row r="281" spans="1:14" ht="16" x14ac:dyDescent="0.2">
      <c r="A281" s="40" t="s">
        <v>264</v>
      </c>
      <c r="B281" s="41">
        <f t="shared" si="9"/>
        <v>-6.68</v>
      </c>
      <c r="C281" s="497">
        <f t="shared" si="10"/>
        <v>12684.580000000009</v>
      </c>
      <c r="D281" s="37"/>
      <c r="E281" s="131">
        <v>20250513</v>
      </c>
      <c r="F281" s="132"/>
      <c r="G281" s="132" t="s">
        <v>362</v>
      </c>
      <c r="H281" s="132"/>
      <c r="I281" s="132" t="s">
        <v>363</v>
      </c>
      <c r="J281" s="132" t="s">
        <v>364</v>
      </c>
      <c r="K281" s="132">
        <v>-6.68</v>
      </c>
      <c r="L281" s="132" t="s">
        <v>365</v>
      </c>
      <c r="M281" s="132" t="s">
        <v>782</v>
      </c>
      <c r="N281" s="498" t="s">
        <v>783</v>
      </c>
    </row>
    <row r="282" spans="1:14" ht="16" x14ac:dyDescent="0.2">
      <c r="A282" s="40" t="s">
        <v>262</v>
      </c>
      <c r="B282" s="41">
        <f t="shared" ref="B282:B345" si="11">K282</f>
        <v>-102</v>
      </c>
      <c r="C282" s="497">
        <f t="shared" ref="C282:C345" si="12">C281+B282</f>
        <v>12582.580000000009</v>
      </c>
      <c r="D282" s="37"/>
      <c r="E282" s="131">
        <v>20250513</v>
      </c>
      <c r="F282" s="132"/>
      <c r="G282" s="132" t="s">
        <v>362</v>
      </c>
      <c r="H282" s="132"/>
      <c r="I282" s="132" t="s">
        <v>363</v>
      </c>
      <c r="J282" s="132" t="s">
        <v>364</v>
      </c>
      <c r="K282" s="132">
        <v>-102</v>
      </c>
      <c r="L282" s="132" t="s">
        <v>365</v>
      </c>
      <c r="M282" s="132" t="s">
        <v>784</v>
      </c>
      <c r="N282" s="498" t="s">
        <v>785</v>
      </c>
    </row>
    <row r="283" spans="1:14" ht="16" x14ac:dyDescent="0.2">
      <c r="A283" s="40" t="s">
        <v>188</v>
      </c>
      <c r="B283" s="41">
        <f t="shared" si="11"/>
        <v>-1488.81</v>
      </c>
      <c r="C283" s="497">
        <f t="shared" si="12"/>
        <v>11093.77000000001</v>
      </c>
      <c r="D283" s="37"/>
      <c r="E283" s="131">
        <v>20250513</v>
      </c>
      <c r="F283" s="132"/>
      <c r="G283" s="132" t="s">
        <v>362</v>
      </c>
      <c r="H283" s="132"/>
      <c r="I283" s="132" t="s">
        <v>363</v>
      </c>
      <c r="J283" s="132" t="s">
        <v>364</v>
      </c>
      <c r="K283" s="132">
        <v>-1488.81</v>
      </c>
      <c r="L283" s="132" t="s">
        <v>365</v>
      </c>
      <c r="M283" s="132" t="s">
        <v>786</v>
      </c>
      <c r="N283" s="498" t="s">
        <v>787</v>
      </c>
    </row>
    <row r="284" spans="1:14" ht="16" x14ac:dyDescent="0.2">
      <c r="A284" s="97" t="s">
        <v>80</v>
      </c>
      <c r="B284" s="41">
        <f t="shared" si="11"/>
        <v>334.26</v>
      </c>
      <c r="C284" s="497">
        <f t="shared" si="12"/>
        <v>11428.03000000001</v>
      </c>
      <c r="D284" s="37"/>
      <c r="E284" s="131">
        <v>20250513</v>
      </c>
      <c r="F284" s="132"/>
      <c r="G284" s="132" t="s">
        <v>362</v>
      </c>
      <c r="H284" s="132"/>
      <c r="I284" s="132" t="s">
        <v>372</v>
      </c>
      <c r="J284" s="132" t="s">
        <v>373</v>
      </c>
      <c r="K284" s="132">
        <v>334.26</v>
      </c>
      <c r="L284" s="132" t="s">
        <v>374</v>
      </c>
      <c r="M284" s="132" t="s">
        <v>788</v>
      </c>
      <c r="N284" s="498"/>
    </row>
    <row r="285" spans="1:14" ht="16" x14ac:dyDescent="0.2">
      <c r="A285" s="97" t="s">
        <v>80</v>
      </c>
      <c r="B285" s="41">
        <f t="shared" si="11"/>
        <v>739.61</v>
      </c>
      <c r="C285" s="497">
        <f t="shared" si="12"/>
        <v>12167.64000000001</v>
      </c>
      <c r="D285" s="37"/>
      <c r="E285" s="131">
        <v>20250514</v>
      </c>
      <c r="F285" s="132"/>
      <c r="G285" s="132" t="s">
        <v>362</v>
      </c>
      <c r="H285" s="132"/>
      <c r="I285" s="132" t="s">
        <v>372</v>
      </c>
      <c r="J285" s="132" t="s">
        <v>373</v>
      </c>
      <c r="K285" s="132">
        <v>739.61</v>
      </c>
      <c r="L285" s="132" t="s">
        <v>374</v>
      </c>
      <c r="M285" s="132" t="s">
        <v>789</v>
      </c>
      <c r="N285" s="498"/>
    </row>
    <row r="286" spans="1:14" ht="16" x14ac:dyDescent="0.2">
      <c r="A286" s="40" t="s">
        <v>103</v>
      </c>
      <c r="B286" s="41">
        <f t="shared" si="11"/>
        <v>-30.25</v>
      </c>
      <c r="C286" s="497">
        <f t="shared" si="12"/>
        <v>12137.39000000001</v>
      </c>
      <c r="D286" s="37"/>
      <c r="E286" s="131">
        <v>20250514</v>
      </c>
      <c r="F286" s="132"/>
      <c r="G286" s="132" t="s">
        <v>362</v>
      </c>
      <c r="H286" s="132"/>
      <c r="I286" s="132" t="s">
        <v>368</v>
      </c>
      <c r="J286" s="132" t="s">
        <v>364</v>
      </c>
      <c r="K286" s="132">
        <v>-30.25</v>
      </c>
      <c r="L286" s="132" t="s">
        <v>369</v>
      </c>
      <c r="M286" s="132" t="s">
        <v>790</v>
      </c>
      <c r="N286" s="498"/>
    </row>
    <row r="287" spans="1:14" ht="16" x14ac:dyDescent="0.2">
      <c r="A287" s="97" t="s">
        <v>80</v>
      </c>
      <c r="B287" s="41">
        <f t="shared" si="11"/>
        <v>386.35</v>
      </c>
      <c r="C287" s="497">
        <f t="shared" si="12"/>
        <v>12523.740000000011</v>
      </c>
      <c r="D287" s="37"/>
      <c r="E287" s="131">
        <v>20250515</v>
      </c>
      <c r="F287" s="132"/>
      <c r="G287" s="132" t="s">
        <v>362</v>
      </c>
      <c r="H287" s="132"/>
      <c r="I287" s="132" t="s">
        <v>372</v>
      </c>
      <c r="J287" s="132" t="s">
        <v>373</v>
      </c>
      <c r="K287" s="132">
        <v>386.35</v>
      </c>
      <c r="L287" s="132" t="s">
        <v>374</v>
      </c>
      <c r="M287" s="132" t="s">
        <v>791</v>
      </c>
    </row>
    <row r="288" spans="1:14" ht="16" x14ac:dyDescent="0.2">
      <c r="A288" s="40" t="s">
        <v>203</v>
      </c>
      <c r="B288" s="41">
        <f t="shared" si="11"/>
        <v>-25</v>
      </c>
      <c r="C288" s="497">
        <f t="shared" si="12"/>
        <v>12498.740000000011</v>
      </c>
      <c r="D288" s="37"/>
      <c r="E288" s="131">
        <v>20250516</v>
      </c>
      <c r="F288" s="132"/>
      <c r="G288" s="132" t="s">
        <v>362</v>
      </c>
      <c r="H288" s="132"/>
      <c r="I288" s="132" t="s">
        <v>363</v>
      </c>
      <c r="J288" s="132" t="s">
        <v>364</v>
      </c>
      <c r="K288" s="132">
        <v>-25</v>
      </c>
      <c r="L288" s="132" t="s">
        <v>365</v>
      </c>
      <c r="M288" s="132" t="s">
        <v>792</v>
      </c>
      <c r="N288" s="132" t="s">
        <v>793</v>
      </c>
    </row>
    <row r="289" spans="1:14" ht="16" x14ac:dyDescent="0.2">
      <c r="A289" s="40" t="s">
        <v>203</v>
      </c>
      <c r="B289" s="41">
        <f t="shared" si="11"/>
        <v>-25</v>
      </c>
      <c r="C289" s="497">
        <f t="shared" si="12"/>
        <v>12473.740000000011</v>
      </c>
      <c r="D289" s="37"/>
      <c r="E289" s="131">
        <v>20250516</v>
      </c>
      <c r="F289" s="132"/>
      <c r="G289" s="132" t="s">
        <v>362</v>
      </c>
      <c r="H289" s="132"/>
      <c r="I289" s="132" t="s">
        <v>363</v>
      </c>
      <c r="J289" s="132" t="s">
        <v>364</v>
      </c>
      <c r="K289" s="132">
        <v>-25</v>
      </c>
      <c r="L289" s="132" t="s">
        <v>365</v>
      </c>
      <c r="M289" s="132" t="s">
        <v>794</v>
      </c>
      <c r="N289" s="132" t="s">
        <v>795</v>
      </c>
    </row>
    <row r="290" spans="1:14" ht="16" x14ac:dyDescent="0.2">
      <c r="A290" s="40" t="s">
        <v>203</v>
      </c>
      <c r="B290" s="41">
        <f t="shared" si="11"/>
        <v>-25</v>
      </c>
      <c r="C290" s="497">
        <f t="shared" si="12"/>
        <v>12448.740000000011</v>
      </c>
      <c r="D290" s="37"/>
      <c r="E290" s="131">
        <v>20250516</v>
      </c>
      <c r="F290" s="132"/>
      <c r="G290" s="132" t="s">
        <v>362</v>
      </c>
      <c r="H290" s="132"/>
      <c r="I290" s="132" t="s">
        <v>363</v>
      </c>
      <c r="J290" s="132" t="s">
        <v>364</v>
      </c>
      <c r="K290" s="132">
        <v>-25</v>
      </c>
      <c r="L290" s="132" t="s">
        <v>365</v>
      </c>
      <c r="M290" s="132" t="s">
        <v>797</v>
      </c>
      <c r="N290" s="132" t="s">
        <v>798</v>
      </c>
    </row>
    <row r="291" spans="1:14" ht="16" x14ac:dyDescent="0.2">
      <c r="A291" s="40" t="s">
        <v>203</v>
      </c>
      <c r="B291" s="41">
        <f t="shared" si="11"/>
        <v>-25</v>
      </c>
      <c r="C291" s="497">
        <f t="shared" si="12"/>
        <v>12423.740000000011</v>
      </c>
      <c r="D291" s="37"/>
      <c r="E291" s="131">
        <v>20250516</v>
      </c>
      <c r="F291" s="132"/>
      <c r="G291" s="132" t="s">
        <v>362</v>
      </c>
      <c r="H291" s="132"/>
      <c r="I291" s="132" t="s">
        <v>363</v>
      </c>
      <c r="J291" s="132" t="s">
        <v>364</v>
      </c>
      <c r="K291" s="132">
        <v>-25</v>
      </c>
      <c r="L291" s="132" t="s">
        <v>365</v>
      </c>
      <c r="M291" s="132" t="s">
        <v>799</v>
      </c>
      <c r="N291" s="132" t="s">
        <v>800</v>
      </c>
    </row>
    <row r="292" spans="1:14" ht="16" x14ac:dyDescent="0.2">
      <c r="A292" s="40" t="s">
        <v>203</v>
      </c>
      <c r="B292" s="41">
        <f t="shared" si="11"/>
        <v>-25</v>
      </c>
      <c r="C292" s="497">
        <f t="shared" si="12"/>
        <v>12398.740000000011</v>
      </c>
      <c r="D292" s="37"/>
      <c r="E292" s="131">
        <v>20250516</v>
      </c>
      <c r="F292" s="132"/>
      <c r="G292" s="132" t="s">
        <v>362</v>
      </c>
      <c r="H292" s="132"/>
      <c r="I292" s="132" t="s">
        <v>363</v>
      </c>
      <c r="J292" s="132" t="s">
        <v>364</v>
      </c>
      <c r="K292" s="132">
        <v>-25</v>
      </c>
      <c r="L292" s="132" t="s">
        <v>365</v>
      </c>
      <c r="M292" s="132" t="s">
        <v>801</v>
      </c>
      <c r="N292" s="132" t="s">
        <v>802</v>
      </c>
    </row>
    <row r="293" spans="1:14" ht="16" x14ac:dyDescent="0.2">
      <c r="A293" s="40" t="s">
        <v>203</v>
      </c>
      <c r="B293" s="41">
        <f t="shared" si="11"/>
        <v>-25</v>
      </c>
      <c r="C293" s="497">
        <f t="shared" si="12"/>
        <v>12373.740000000011</v>
      </c>
      <c r="D293" s="37"/>
      <c r="E293" s="131">
        <v>20250516</v>
      </c>
      <c r="F293" s="132"/>
      <c r="G293" s="132" t="s">
        <v>362</v>
      </c>
      <c r="H293" s="132"/>
      <c r="I293" s="132" t="s">
        <v>363</v>
      </c>
      <c r="J293" s="132" t="s">
        <v>364</v>
      </c>
      <c r="K293" s="132">
        <v>-25</v>
      </c>
      <c r="L293" s="132" t="s">
        <v>365</v>
      </c>
      <c r="M293" s="132" t="s">
        <v>803</v>
      </c>
      <c r="N293" s="132" t="s">
        <v>804</v>
      </c>
    </row>
    <row r="294" spans="1:14" ht="16" x14ac:dyDescent="0.2">
      <c r="A294" s="40" t="s">
        <v>203</v>
      </c>
      <c r="B294" s="41">
        <f t="shared" si="11"/>
        <v>-25</v>
      </c>
      <c r="C294" s="497">
        <f t="shared" si="12"/>
        <v>12348.740000000011</v>
      </c>
      <c r="D294" s="37"/>
      <c r="E294" s="131">
        <v>20250516</v>
      </c>
      <c r="F294" s="132"/>
      <c r="G294" s="132" t="s">
        <v>362</v>
      </c>
      <c r="H294" s="132"/>
      <c r="I294" s="132" t="s">
        <v>363</v>
      </c>
      <c r="J294" s="132" t="s">
        <v>364</v>
      </c>
      <c r="K294" s="132">
        <v>-25</v>
      </c>
      <c r="L294" s="132" t="s">
        <v>365</v>
      </c>
      <c r="M294" s="132" t="s">
        <v>805</v>
      </c>
      <c r="N294" s="498" t="s">
        <v>806</v>
      </c>
    </row>
    <row r="295" spans="1:14" ht="16" x14ac:dyDescent="0.2">
      <c r="A295" s="40" t="s">
        <v>203</v>
      </c>
      <c r="B295" s="41">
        <f t="shared" si="11"/>
        <v>-25</v>
      </c>
      <c r="C295" s="497">
        <f t="shared" si="12"/>
        <v>12323.740000000011</v>
      </c>
      <c r="D295" s="37"/>
      <c r="E295" s="131">
        <v>20250516</v>
      </c>
      <c r="F295" s="132"/>
      <c r="G295" s="132" t="s">
        <v>362</v>
      </c>
      <c r="H295" s="132"/>
      <c r="I295" s="132" t="s">
        <v>363</v>
      </c>
      <c r="J295" s="132" t="s">
        <v>364</v>
      </c>
      <c r="K295" s="132">
        <v>-25</v>
      </c>
      <c r="L295" s="132" t="s">
        <v>365</v>
      </c>
      <c r="M295" s="132" t="s">
        <v>808</v>
      </c>
      <c r="N295" s="498" t="s">
        <v>809</v>
      </c>
    </row>
    <row r="296" spans="1:14" ht="16" x14ac:dyDescent="0.2">
      <c r="A296" s="40" t="s">
        <v>203</v>
      </c>
      <c r="B296" s="41">
        <f t="shared" si="11"/>
        <v>-25</v>
      </c>
      <c r="C296" s="497">
        <f t="shared" si="12"/>
        <v>12298.740000000011</v>
      </c>
      <c r="D296" s="37"/>
      <c r="E296" s="131">
        <v>20250516</v>
      </c>
      <c r="F296" s="132"/>
      <c r="G296" s="132" t="s">
        <v>362</v>
      </c>
      <c r="H296" s="132"/>
      <c r="I296" s="132" t="s">
        <v>363</v>
      </c>
      <c r="J296" s="132" t="s">
        <v>364</v>
      </c>
      <c r="K296" s="132">
        <v>-25</v>
      </c>
      <c r="L296" s="132" t="s">
        <v>365</v>
      </c>
      <c r="M296" s="132" t="s">
        <v>810</v>
      </c>
      <c r="N296" s="132" t="s">
        <v>811</v>
      </c>
    </row>
    <row r="297" spans="1:14" ht="16" x14ac:dyDescent="0.2">
      <c r="A297" s="40" t="s">
        <v>203</v>
      </c>
      <c r="B297" s="41">
        <f t="shared" si="11"/>
        <v>-25</v>
      </c>
      <c r="C297" s="497">
        <f t="shared" si="12"/>
        <v>12273.740000000011</v>
      </c>
      <c r="D297" s="37"/>
      <c r="E297" s="131">
        <v>20250516</v>
      </c>
      <c r="F297" s="132"/>
      <c r="G297" s="132" t="s">
        <v>362</v>
      </c>
      <c r="H297" s="132"/>
      <c r="I297" s="132" t="s">
        <v>363</v>
      </c>
      <c r="J297" s="132" t="s">
        <v>364</v>
      </c>
      <c r="K297" s="132">
        <v>-25</v>
      </c>
      <c r="L297" s="132" t="s">
        <v>365</v>
      </c>
      <c r="M297" s="132" t="s">
        <v>812</v>
      </c>
      <c r="N297" s="132" t="s">
        <v>813</v>
      </c>
    </row>
    <row r="298" spans="1:14" ht="16" x14ac:dyDescent="0.2">
      <c r="A298" s="40" t="s">
        <v>203</v>
      </c>
      <c r="B298" s="41">
        <f t="shared" si="11"/>
        <v>-25</v>
      </c>
      <c r="C298" s="497">
        <f t="shared" si="12"/>
        <v>12248.740000000011</v>
      </c>
      <c r="D298" s="37"/>
      <c r="E298" s="131">
        <v>20250516</v>
      </c>
      <c r="F298" s="132"/>
      <c r="G298" s="132" t="s">
        <v>362</v>
      </c>
      <c r="H298" s="132"/>
      <c r="I298" s="132" t="s">
        <v>363</v>
      </c>
      <c r="J298" s="132" t="s">
        <v>364</v>
      </c>
      <c r="K298" s="132">
        <v>-25</v>
      </c>
      <c r="L298" s="132" t="s">
        <v>365</v>
      </c>
      <c r="M298" s="132" t="s">
        <v>814</v>
      </c>
      <c r="N298" s="132" t="s">
        <v>815</v>
      </c>
    </row>
    <row r="299" spans="1:14" ht="16" x14ac:dyDescent="0.2">
      <c r="A299" s="40" t="s">
        <v>203</v>
      </c>
      <c r="B299" s="41">
        <f t="shared" si="11"/>
        <v>-25</v>
      </c>
      <c r="C299" s="497">
        <f t="shared" si="12"/>
        <v>12223.740000000011</v>
      </c>
      <c r="D299" s="37"/>
      <c r="E299" s="131">
        <v>20250516</v>
      </c>
      <c r="F299" s="132"/>
      <c r="G299" s="132" t="s">
        <v>362</v>
      </c>
      <c r="H299" s="132"/>
      <c r="I299" s="132" t="s">
        <v>363</v>
      </c>
      <c r="J299" s="132" t="s">
        <v>364</v>
      </c>
      <c r="K299" s="132">
        <v>-25</v>
      </c>
      <c r="L299" s="132" t="s">
        <v>365</v>
      </c>
      <c r="M299" s="132" t="s">
        <v>816</v>
      </c>
      <c r="N299" s="132" t="s">
        <v>817</v>
      </c>
    </row>
    <row r="300" spans="1:14" ht="16" x14ac:dyDescent="0.2">
      <c r="A300" s="40" t="s">
        <v>203</v>
      </c>
      <c r="B300" s="41">
        <f t="shared" si="11"/>
        <v>-25</v>
      </c>
      <c r="C300" s="497">
        <f t="shared" si="12"/>
        <v>12198.740000000011</v>
      </c>
      <c r="D300" s="37"/>
      <c r="E300" s="131">
        <v>20250516</v>
      </c>
      <c r="F300" s="132"/>
      <c r="G300" s="132" t="s">
        <v>362</v>
      </c>
      <c r="H300" s="132"/>
      <c r="I300" s="132" t="s">
        <v>363</v>
      </c>
      <c r="J300" s="132" t="s">
        <v>364</v>
      </c>
      <c r="K300" s="132">
        <v>-25</v>
      </c>
      <c r="L300" s="132" t="s">
        <v>365</v>
      </c>
      <c r="M300" s="132" t="s">
        <v>818</v>
      </c>
      <c r="N300" s="132" t="s">
        <v>819</v>
      </c>
    </row>
    <row r="301" spans="1:14" ht="16" x14ac:dyDescent="0.2">
      <c r="A301" s="40" t="s">
        <v>203</v>
      </c>
      <c r="B301" s="41">
        <f t="shared" si="11"/>
        <v>-25</v>
      </c>
      <c r="C301" s="497">
        <f t="shared" si="12"/>
        <v>12173.740000000011</v>
      </c>
      <c r="D301" s="37"/>
      <c r="E301" s="131">
        <v>20250516</v>
      </c>
      <c r="F301" s="132"/>
      <c r="G301" s="132" t="s">
        <v>362</v>
      </c>
      <c r="H301" s="132"/>
      <c r="I301" s="132" t="s">
        <v>363</v>
      </c>
      <c r="J301" s="132" t="s">
        <v>364</v>
      </c>
      <c r="K301" s="132">
        <v>-25</v>
      </c>
      <c r="L301" s="132" t="s">
        <v>365</v>
      </c>
      <c r="M301" s="132" t="s">
        <v>820</v>
      </c>
      <c r="N301" s="132" t="s">
        <v>821</v>
      </c>
    </row>
    <row r="302" spans="1:14" ht="16" x14ac:dyDescent="0.2">
      <c r="A302" s="40" t="s">
        <v>203</v>
      </c>
      <c r="B302" s="41">
        <f t="shared" si="11"/>
        <v>-25</v>
      </c>
      <c r="C302" s="497">
        <f t="shared" si="12"/>
        <v>12148.740000000011</v>
      </c>
      <c r="D302" s="37"/>
      <c r="E302" s="131">
        <v>20250516</v>
      </c>
      <c r="F302" s="132"/>
      <c r="G302" s="132" t="s">
        <v>362</v>
      </c>
      <c r="H302" s="132"/>
      <c r="I302" s="132" t="s">
        <v>363</v>
      </c>
      <c r="J302" s="132" t="s">
        <v>364</v>
      </c>
      <c r="K302" s="132">
        <v>-25</v>
      </c>
      <c r="L302" s="132" t="s">
        <v>365</v>
      </c>
      <c r="M302" s="132" t="s">
        <v>822</v>
      </c>
      <c r="N302" s="132" t="s">
        <v>823</v>
      </c>
    </row>
    <row r="303" spans="1:14" ht="16" x14ac:dyDescent="0.2">
      <c r="A303" s="40" t="s">
        <v>203</v>
      </c>
      <c r="B303" s="41">
        <f t="shared" si="11"/>
        <v>-25</v>
      </c>
      <c r="C303" s="497">
        <f t="shared" si="12"/>
        <v>12123.740000000011</v>
      </c>
      <c r="D303" s="37"/>
      <c r="E303" s="131">
        <v>20250516</v>
      </c>
      <c r="F303" s="132"/>
      <c r="G303" s="132" t="s">
        <v>362</v>
      </c>
      <c r="H303" s="132"/>
      <c r="I303" s="132" t="s">
        <v>363</v>
      </c>
      <c r="J303" s="132" t="s">
        <v>364</v>
      </c>
      <c r="K303" s="132">
        <v>-25</v>
      </c>
      <c r="L303" s="132" t="s">
        <v>365</v>
      </c>
      <c r="M303" s="132" t="s">
        <v>825</v>
      </c>
      <c r="N303" s="498" t="s">
        <v>826</v>
      </c>
    </row>
    <row r="304" spans="1:14" ht="16" x14ac:dyDescent="0.2">
      <c r="A304" s="40" t="s">
        <v>203</v>
      </c>
      <c r="B304" s="41">
        <f t="shared" si="11"/>
        <v>-25</v>
      </c>
      <c r="C304" s="497">
        <f t="shared" si="12"/>
        <v>12098.740000000011</v>
      </c>
      <c r="D304" s="37"/>
      <c r="E304" s="131">
        <v>20250516</v>
      </c>
      <c r="F304" s="132"/>
      <c r="G304" s="132" t="s">
        <v>362</v>
      </c>
      <c r="H304" s="132"/>
      <c r="I304" s="132" t="s">
        <v>363</v>
      </c>
      <c r="J304" s="132" t="s">
        <v>364</v>
      </c>
      <c r="K304" s="132">
        <v>-25</v>
      </c>
      <c r="L304" s="132" t="s">
        <v>365</v>
      </c>
      <c r="M304" s="132" t="s">
        <v>827</v>
      </c>
      <c r="N304" s="498" t="s">
        <v>828</v>
      </c>
    </row>
    <row r="305" spans="1:15" ht="16" x14ac:dyDescent="0.2">
      <c r="A305" s="40" t="s">
        <v>203</v>
      </c>
      <c r="B305" s="41">
        <f t="shared" si="11"/>
        <v>-25</v>
      </c>
      <c r="C305" s="497">
        <f t="shared" si="12"/>
        <v>12073.740000000011</v>
      </c>
      <c r="D305" s="37"/>
      <c r="E305" s="131">
        <v>20250516</v>
      </c>
      <c r="F305" s="132"/>
      <c r="G305" s="132" t="s">
        <v>362</v>
      </c>
      <c r="H305" s="132"/>
      <c r="I305" s="132" t="s">
        <v>363</v>
      </c>
      <c r="J305" s="132" t="s">
        <v>364</v>
      </c>
      <c r="K305" s="132">
        <v>-25</v>
      </c>
      <c r="L305" s="132" t="s">
        <v>365</v>
      </c>
      <c r="M305" s="132" t="s">
        <v>829</v>
      </c>
      <c r="N305" s="498" t="s">
        <v>830</v>
      </c>
    </row>
    <row r="306" spans="1:15" ht="16" x14ac:dyDescent="0.2">
      <c r="A306" s="40" t="s">
        <v>203</v>
      </c>
      <c r="B306" s="41">
        <f t="shared" si="11"/>
        <v>-25</v>
      </c>
      <c r="C306" s="497">
        <f t="shared" si="12"/>
        <v>12048.740000000011</v>
      </c>
      <c r="D306" s="37"/>
      <c r="E306" s="131">
        <v>20250516</v>
      </c>
      <c r="F306" s="132"/>
      <c r="G306" s="132" t="s">
        <v>362</v>
      </c>
      <c r="H306" s="132"/>
      <c r="I306" s="132" t="s">
        <v>363</v>
      </c>
      <c r="J306" s="132" t="s">
        <v>364</v>
      </c>
      <c r="K306" s="132">
        <v>-25</v>
      </c>
      <c r="L306" s="132" t="s">
        <v>365</v>
      </c>
      <c r="M306" s="132" t="s">
        <v>831</v>
      </c>
      <c r="N306" s="498" t="s">
        <v>832</v>
      </c>
    </row>
    <row r="307" spans="1:15" ht="16" x14ac:dyDescent="0.2">
      <c r="A307" s="40" t="s">
        <v>203</v>
      </c>
      <c r="B307" s="41">
        <f t="shared" si="11"/>
        <v>-25</v>
      </c>
      <c r="C307" s="497">
        <f t="shared" si="12"/>
        <v>12023.740000000011</v>
      </c>
      <c r="D307" s="37"/>
      <c r="E307" s="131">
        <v>20250516</v>
      </c>
      <c r="F307" s="132"/>
      <c r="G307" s="132" t="s">
        <v>362</v>
      </c>
      <c r="H307" s="132"/>
      <c r="I307" s="132" t="s">
        <v>363</v>
      </c>
      <c r="J307" s="132" t="s">
        <v>364</v>
      </c>
      <c r="K307" s="132">
        <v>-25</v>
      </c>
      <c r="L307" s="132" t="s">
        <v>365</v>
      </c>
      <c r="M307" s="132" t="s">
        <v>833</v>
      </c>
      <c r="N307" s="498" t="s">
        <v>834</v>
      </c>
    </row>
    <row r="308" spans="1:15" ht="16" x14ac:dyDescent="0.2">
      <c r="A308" s="40" t="s">
        <v>203</v>
      </c>
      <c r="B308" s="41">
        <f t="shared" si="11"/>
        <v>-25</v>
      </c>
      <c r="C308" s="497">
        <f t="shared" si="12"/>
        <v>11998.740000000011</v>
      </c>
      <c r="D308" s="37"/>
      <c r="E308" s="131">
        <v>20250516</v>
      </c>
      <c r="F308" s="132"/>
      <c r="G308" s="132" t="s">
        <v>362</v>
      </c>
      <c r="H308" s="132"/>
      <c r="I308" s="132" t="s">
        <v>363</v>
      </c>
      <c r="J308" s="132" t="s">
        <v>364</v>
      </c>
      <c r="K308" s="132">
        <v>-25</v>
      </c>
      <c r="L308" s="132" t="s">
        <v>365</v>
      </c>
      <c r="M308" s="132" t="s">
        <v>835</v>
      </c>
      <c r="N308" s="498" t="s">
        <v>836</v>
      </c>
    </row>
    <row r="309" spans="1:15" ht="16" x14ac:dyDescent="0.2">
      <c r="A309" s="40" t="s">
        <v>203</v>
      </c>
      <c r="B309" s="41">
        <f t="shared" si="11"/>
        <v>-25</v>
      </c>
      <c r="C309" s="497">
        <f t="shared" si="12"/>
        <v>11973.740000000011</v>
      </c>
      <c r="D309" s="37"/>
      <c r="E309" s="131">
        <v>20250516</v>
      </c>
      <c r="F309" s="132"/>
      <c r="G309" s="132" t="s">
        <v>362</v>
      </c>
      <c r="H309" s="132"/>
      <c r="I309" s="132" t="s">
        <v>363</v>
      </c>
      <c r="J309" s="132" t="s">
        <v>364</v>
      </c>
      <c r="K309" s="132">
        <v>-25</v>
      </c>
      <c r="L309" s="132" t="s">
        <v>365</v>
      </c>
      <c r="M309" s="132" t="s">
        <v>837</v>
      </c>
      <c r="N309" s="498" t="s">
        <v>838</v>
      </c>
    </row>
    <row r="310" spans="1:15" ht="16" x14ac:dyDescent="0.2">
      <c r="A310" s="40" t="s">
        <v>203</v>
      </c>
      <c r="B310" s="41">
        <f t="shared" si="11"/>
        <v>-25</v>
      </c>
      <c r="C310" s="497">
        <f t="shared" si="12"/>
        <v>11948.740000000011</v>
      </c>
      <c r="D310" s="37"/>
      <c r="E310" s="131">
        <v>20250516</v>
      </c>
      <c r="F310" s="132"/>
      <c r="G310" s="132" t="s">
        <v>362</v>
      </c>
      <c r="H310" s="132"/>
      <c r="I310" s="132" t="s">
        <v>363</v>
      </c>
      <c r="J310" s="132" t="s">
        <v>364</v>
      </c>
      <c r="K310" s="132">
        <v>-25</v>
      </c>
      <c r="L310" s="132" t="s">
        <v>365</v>
      </c>
      <c r="M310" s="132" t="s">
        <v>839</v>
      </c>
      <c r="N310" s="498" t="s">
        <v>840</v>
      </c>
    </row>
    <row r="311" spans="1:15" ht="16" x14ac:dyDescent="0.2">
      <c r="A311" s="40" t="s">
        <v>203</v>
      </c>
      <c r="B311" s="41">
        <f t="shared" si="11"/>
        <v>-25</v>
      </c>
      <c r="C311" s="497">
        <f t="shared" si="12"/>
        <v>11923.740000000011</v>
      </c>
      <c r="D311" s="37"/>
      <c r="E311" s="131">
        <v>20250516</v>
      </c>
      <c r="F311" s="132"/>
      <c r="G311" s="132" t="s">
        <v>362</v>
      </c>
      <c r="H311" s="132"/>
      <c r="I311" s="132" t="s">
        <v>363</v>
      </c>
      <c r="J311" s="132" t="s">
        <v>364</v>
      </c>
      <c r="K311" s="132">
        <v>-25</v>
      </c>
      <c r="L311" s="132" t="s">
        <v>365</v>
      </c>
      <c r="M311" s="132" t="s">
        <v>841</v>
      </c>
      <c r="N311" s="498" t="s">
        <v>842</v>
      </c>
    </row>
    <row r="312" spans="1:15" ht="16" x14ac:dyDescent="0.2">
      <c r="A312" s="40" t="s">
        <v>208</v>
      </c>
      <c r="B312" s="41">
        <f t="shared" si="11"/>
        <v>-49.85</v>
      </c>
      <c r="C312" s="497">
        <f t="shared" si="12"/>
        <v>11873.89000000001</v>
      </c>
      <c r="D312" s="37"/>
      <c r="E312" s="131">
        <v>20250516</v>
      </c>
      <c r="F312" s="132"/>
      <c r="G312" s="132" t="s">
        <v>362</v>
      </c>
      <c r="H312" s="132"/>
      <c r="I312" s="132" t="s">
        <v>363</v>
      </c>
      <c r="J312" s="132" t="s">
        <v>364</v>
      </c>
      <c r="K312" s="132">
        <v>-49.85</v>
      </c>
      <c r="L312" s="132" t="s">
        <v>365</v>
      </c>
      <c r="M312" s="132" t="s">
        <v>843</v>
      </c>
      <c r="N312" s="498" t="s">
        <v>844</v>
      </c>
    </row>
    <row r="313" spans="1:15" ht="16" x14ac:dyDescent="0.2">
      <c r="A313" s="40" t="s">
        <v>230</v>
      </c>
      <c r="B313" s="41">
        <f t="shared" si="11"/>
        <v>-7538.63</v>
      </c>
      <c r="C313" s="497">
        <f t="shared" si="12"/>
        <v>4335.2600000000102</v>
      </c>
      <c r="D313" s="37"/>
      <c r="E313" s="131">
        <v>20250516</v>
      </c>
      <c r="F313" s="132"/>
      <c r="G313" s="132" t="s">
        <v>362</v>
      </c>
      <c r="H313" s="132"/>
      <c r="I313" s="132" t="s">
        <v>363</v>
      </c>
      <c r="J313" s="132" t="s">
        <v>364</v>
      </c>
      <c r="K313" s="132">
        <v>-7538.63</v>
      </c>
      <c r="L313" s="132" t="s">
        <v>365</v>
      </c>
      <c r="M313" s="132" t="s">
        <v>845</v>
      </c>
      <c r="N313" s="498" t="s">
        <v>846</v>
      </c>
    </row>
    <row r="314" spans="1:15" ht="16" x14ac:dyDescent="0.2">
      <c r="A314" s="97" t="s">
        <v>80</v>
      </c>
      <c r="B314" s="41">
        <f t="shared" si="11"/>
        <v>351.66</v>
      </c>
      <c r="C314" s="497">
        <f t="shared" si="12"/>
        <v>4686.9200000000101</v>
      </c>
      <c r="D314" s="37"/>
      <c r="E314" s="131">
        <v>20250516</v>
      </c>
      <c r="F314" s="132"/>
      <c r="G314" s="132" t="s">
        <v>362</v>
      </c>
      <c r="H314" s="132"/>
      <c r="I314" s="132" t="s">
        <v>372</v>
      </c>
      <c r="J314" s="132" t="s">
        <v>373</v>
      </c>
      <c r="K314" s="132">
        <v>351.66</v>
      </c>
      <c r="L314" s="132" t="s">
        <v>374</v>
      </c>
      <c r="M314" s="132" t="s">
        <v>847</v>
      </c>
    </row>
    <row r="315" spans="1:15" ht="16" x14ac:dyDescent="0.2">
      <c r="A315" s="97" t="s">
        <v>80</v>
      </c>
      <c r="B315" s="41">
        <f t="shared" si="11"/>
        <v>419.32</v>
      </c>
      <c r="C315" s="497">
        <f t="shared" si="12"/>
        <v>5106.2400000000098</v>
      </c>
      <c r="D315" s="37"/>
      <c r="E315" s="131">
        <v>20250519</v>
      </c>
      <c r="F315" s="132"/>
      <c r="G315" s="132" t="s">
        <v>362</v>
      </c>
      <c r="H315" s="132"/>
      <c r="I315" s="132" t="s">
        <v>372</v>
      </c>
      <c r="J315" s="132" t="s">
        <v>373</v>
      </c>
      <c r="K315" s="132">
        <v>419.32</v>
      </c>
      <c r="L315" s="132" t="s">
        <v>374</v>
      </c>
      <c r="M315" s="132" t="s">
        <v>848</v>
      </c>
    </row>
    <row r="316" spans="1:15" ht="16" x14ac:dyDescent="0.2">
      <c r="A316" s="40" t="s">
        <v>267</v>
      </c>
      <c r="B316" s="41">
        <f t="shared" si="11"/>
        <v>53.7</v>
      </c>
      <c r="C316" s="497">
        <f t="shared" si="12"/>
        <v>5159.9400000000096</v>
      </c>
      <c r="D316" s="37"/>
      <c r="E316" s="131">
        <v>20250520</v>
      </c>
      <c r="F316" s="132"/>
      <c r="G316" s="132" t="s">
        <v>362</v>
      </c>
      <c r="H316" s="132"/>
      <c r="I316" s="132" t="s">
        <v>372</v>
      </c>
      <c r="J316" s="132" t="s">
        <v>373</v>
      </c>
      <c r="K316" s="132">
        <v>53.7</v>
      </c>
      <c r="L316" s="132" t="s">
        <v>374</v>
      </c>
      <c r="M316" s="132" t="s">
        <v>849</v>
      </c>
      <c r="N316" s="498"/>
    </row>
    <row r="317" spans="1:15" ht="16" x14ac:dyDescent="0.2">
      <c r="A317" s="97" t="s">
        <v>80</v>
      </c>
      <c r="B317" s="41">
        <f t="shared" si="11"/>
        <v>359.85</v>
      </c>
      <c r="C317" s="497">
        <f t="shared" si="12"/>
        <v>5519.79000000001</v>
      </c>
      <c r="D317" s="37"/>
      <c r="E317" s="131">
        <v>20250520</v>
      </c>
      <c r="F317" s="132"/>
      <c r="G317" s="132" t="s">
        <v>362</v>
      </c>
      <c r="H317" s="132"/>
      <c r="I317" s="132" t="s">
        <v>372</v>
      </c>
      <c r="J317" s="132" t="s">
        <v>373</v>
      </c>
      <c r="K317" s="132">
        <v>359.85</v>
      </c>
      <c r="L317" s="132" t="s">
        <v>374</v>
      </c>
      <c r="M317" s="132" t="s">
        <v>850</v>
      </c>
      <c r="N317" s="498"/>
    </row>
    <row r="318" spans="1:15" ht="16" x14ac:dyDescent="0.2">
      <c r="A318" s="40" t="s">
        <v>267</v>
      </c>
      <c r="B318" s="41">
        <f t="shared" si="11"/>
        <v>53.7</v>
      </c>
      <c r="C318" s="497">
        <f t="shared" si="12"/>
        <v>5573.4900000000098</v>
      </c>
      <c r="D318" s="37"/>
      <c r="E318" s="131">
        <v>20250521</v>
      </c>
      <c r="F318" s="132"/>
      <c r="G318" s="132" t="s">
        <v>362</v>
      </c>
      <c r="H318" s="132"/>
      <c r="I318" s="132" t="s">
        <v>372</v>
      </c>
      <c r="J318" s="132" t="s">
        <v>373</v>
      </c>
      <c r="K318" s="132">
        <v>53.7</v>
      </c>
      <c r="L318" s="132" t="s">
        <v>374</v>
      </c>
      <c r="M318" s="132" t="s">
        <v>851</v>
      </c>
      <c r="N318" s="132"/>
    </row>
    <row r="319" spans="1:15" ht="16" x14ac:dyDescent="0.2">
      <c r="A319" s="97" t="s">
        <v>80</v>
      </c>
      <c r="B319" s="41">
        <f t="shared" si="11"/>
        <v>510.93</v>
      </c>
      <c r="C319" s="497">
        <f t="shared" si="12"/>
        <v>6084.4200000000101</v>
      </c>
      <c r="D319" s="37"/>
      <c r="E319" s="131">
        <v>20250521</v>
      </c>
      <c r="F319" s="132"/>
      <c r="G319" s="132" t="s">
        <v>362</v>
      </c>
      <c r="H319" s="132"/>
      <c r="I319" s="132" t="s">
        <v>372</v>
      </c>
      <c r="J319" s="132" t="s">
        <v>373</v>
      </c>
      <c r="K319" s="132">
        <v>510.93</v>
      </c>
      <c r="L319" s="132" t="s">
        <v>374</v>
      </c>
      <c r="M319" s="132" t="s">
        <v>852</v>
      </c>
    </row>
    <row r="320" spans="1:15" ht="16" x14ac:dyDescent="0.2">
      <c r="A320" s="40" t="s">
        <v>94</v>
      </c>
      <c r="B320" s="41">
        <f t="shared" si="11"/>
        <v>-18.14</v>
      </c>
      <c r="C320" s="497">
        <f t="shared" si="12"/>
        <v>6066.2800000000097</v>
      </c>
      <c r="D320" s="37"/>
      <c r="E320" s="131">
        <v>20250522</v>
      </c>
      <c r="F320" s="132"/>
      <c r="G320" s="132" t="s">
        <v>362</v>
      </c>
      <c r="H320" s="132"/>
      <c r="I320" s="132" t="s">
        <v>368</v>
      </c>
      <c r="J320" s="132" t="s">
        <v>364</v>
      </c>
      <c r="K320" s="132">
        <v>-18.14</v>
      </c>
      <c r="L320" s="132" t="s">
        <v>369</v>
      </c>
      <c r="M320" s="132" t="s">
        <v>853</v>
      </c>
      <c r="N320" s="132"/>
      <c r="O320" t="s">
        <v>411</v>
      </c>
    </row>
    <row r="321" spans="1:14" ht="16" x14ac:dyDescent="0.2">
      <c r="A321" s="40" t="s">
        <v>121</v>
      </c>
      <c r="B321" s="41">
        <f t="shared" si="11"/>
        <v>-40.25</v>
      </c>
      <c r="C321" s="497">
        <f t="shared" si="12"/>
        <v>6026.0300000000097</v>
      </c>
      <c r="D321" s="37"/>
      <c r="E321" s="131">
        <v>20250524</v>
      </c>
      <c r="F321" s="132"/>
      <c r="G321" s="132" t="s">
        <v>362</v>
      </c>
      <c r="H321" s="133"/>
      <c r="I321" s="132" t="s">
        <v>611</v>
      </c>
      <c r="J321" s="132" t="s">
        <v>364</v>
      </c>
      <c r="K321" s="132">
        <v>-40.25</v>
      </c>
      <c r="L321" s="132" t="s">
        <v>612</v>
      </c>
      <c r="M321" s="132" t="s">
        <v>854</v>
      </c>
      <c r="N321" s="132" t="s">
        <v>855</v>
      </c>
    </row>
    <row r="322" spans="1:14" ht="16" x14ac:dyDescent="0.2">
      <c r="A322" s="40" t="s">
        <v>126</v>
      </c>
      <c r="B322" s="41">
        <f t="shared" si="11"/>
        <v>-14.97</v>
      </c>
      <c r="C322" s="497">
        <f t="shared" si="12"/>
        <v>6011.0600000000095</v>
      </c>
      <c r="D322" s="37"/>
      <c r="E322" s="131">
        <v>20250525</v>
      </c>
      <c r="F322" s="132"/>
      <c r="G322" s="132" t="s">
        <v>362</v>
      </c>
      <c r="H322" s="132"/>
      <c r="I322" s="132" t="s">
        <v>363</v>
      </c>
      <c r="J322" s="132" t="s">
        <v>364</v>
      </c>
      <c r="K322" s="132">
        <v>-14.97</v>
      </c>
      <c r="L322" s="132" t="s">
        <v>365</v>
      </c>
      <c r="M322" s="132" t="s">
        <v>856</v>
      </c>
      <c r="N322" s="132" t="s">
        <v>857</v>
      </c>
    </row>
    <row r="323" spans="1:14" ht="16" x14ac:dyDescent="0.2">
      <c r="A323" s="40" t="s">
        <v>231</v>
      </c>
      <c r="B323" s="41">
        <f t="shared" si="11"/>
        <v>-135.52000000000001</v>
      </c>
      <c r="C323" s="497">
        <f t="shared" si="12"/>
        <v>5875.5400000000091</v>
      </c>
      <c r="D323" s="37"/>
      <c r="E323" s="131">
        <v>20250525</v>
      </c>
      <c r="F323" s="132"/>
      <c r="G323" s="132" t="s">
        <v>362</v>
      </c>
      <c r="H323" s="132"/>
      <c r="I323" s="132" t="s">
        <v>363</v>
      </c>
      <c r="J323" s="132" t="s">
        <v>364</v>
      </c>
      <c r="K323" s="132">
        <v>-135.52000000000001</v>
      </c>
      <c r="L323" s="132" t="s">
        <v>365</v>
      </c>
      <c r="M323" s="132" t="s">
        <v>858</v>
      </c>
      <c r="N323" s="132" t="s">
        <v>859</v>
      </c>
    </row>
    <row r="324" spans="1:14" ht="16" x14ac:dyDescent="0.2">
      <c r="A324" s="40" t="s">
        <v>100</v>
      </c>
      <c r="B324" s="41">
        <f t="shared" si="11"/>
        <v>-42.71</v>
      </c>
      <c r="C324" s="497">
        <f t="shared" si="12"/>
        <v>5832.830000000009</v>
      </c>
      <c r="D324" s="37"/>
      <c r="E324" s="131">
        <v>20250526</v>
      </c>
      <c r="F324" s="132"/>
      <c r="G324" s="132" t="s">
        <v>362</v>
      </c>
      <c r="H324" s="133"/>
      <c r="I324" s="132" t="s">
        <v>382</v>
      </c>
      <c r="J324" s="132" t="s">
        <v>364</v>
      </c>
      <c r="K324" s="132">
        <v>-42.71</v>
      </c>
      <c r="L324" s="132" t="s">
        <v>383</v>
      </c>
      <c r="M324" s="132" t="s">
        <v>860</v>
      </c>
      <c r="N324" s="498"/>
    </row>
    <row r="325" spans="1:14" ht="16" x14ac:dyDescent="0.2">
      <c r="A325" s="40" t="s">
        <v>232</v>
      </c>
      <c r="B325" s="41">
        <f t="shared" si="11"/>
        <v>-140</v>
      </c>
      <c r="C325" s="497">
        <f t="shared" si="12"/>
        <v>5692.830000000009</v>
      </c>
      <c r="D325" s="37"/>
      <c r="E325" s="131">
        <v>20250530</v>
      </c>
      <c r="F325" s="132"/>
      <c r="G325" s="132" t="s">
        <v>362</v>
      </c>
      <c r="H325" s="132"/>
      <c r="I325" s="132" t="s">
        <v>363</v>
      </c>
      <c r="J325" s="132" t="s">
        <v>364</v>
      </c>
      <c r="K325" s="132">
        <v>-140</v>
      </c>
      <c r="L325" s="132" t="s">
        <v>365</v>
      </c>
      <c r="M325" s="132" t="s">
        <v>861</v>
      </c>
      <c r="N325" s="498" t="s">
        <v>862</v>
      </c>
    </row>
    <row r="326" spans="1:14" ht="16" x14ac:dyDescent="0.2">
      <c r="A326" s="40" t="s">
        <v>232</v>
      </c>
      <c r="B326" s="41">
        <f t="shared" si="11"/>
        <v>-60</v>
      </c>
      <c r="C326" s="497">
        <f t="shared" si="12"/>
        <v>5632.830000000009</v>
      </c>
      <c r="D326" s="37"/>
      <c r="E326" s="131">
        <v>20250530</v>
      </c>
      <c r="F326" s="132"/>
      <c r="G326" s="132" t="s">
        <v>362</v>
      </c>
      <c r="H326" s="132"/>
      <c r="I326" s="132" t="s">
        <v>363</v>
      </c>
      <c r="J326" s="132" t="s">
        <v>364</v>
      </c>
      <c r="K326" s="132">
        <v>-60</v>
      </c>
      <c r="L326" s="132" t="s">
        <v>365</v>
      </c>
      <c r="M326" s="132" t="s">
        <v>863</v>
      </c>
      <c r="N326" s="498" t="s">
        <v>864</v>
      </c>
    </row>
    <row r="327" spans="1:14" ht="16" x14ac:dyDescent="0.2">
      <c r="A327" s="40" t="s">
        <v>125</v>
      </c>
      <c r="B327" s="41">
        <f t="shared" si="11"/>
        <v>-1.79</v>
      </c>
      <c r="C327" s="497">
        <f t="shared" si="12"/>
        <v>5631.0400000000091</v>
      </c>
      <c r="D327" s="37"/>
      <c r="E327" s="131">
        <v>20250607</v>
      </c>
      <c r="F327" s="132"/>
      <c r="G327" s="132" t="s">
        <v>362</v>
      </c>
      <c r="H327" s="133"/>
      <c r="I327" s="132" t="s">
        <v>611</v>
      </c>
      <c r="J327" s="132" t="s">
        <v>364</v>
      </c>
      <c r="K327" s="132">
        <v>-1.79</v>
      </c>
      <c r="L327" s="132" t="s">
        <v>612</v>
      </c>
      <c r="M327" s="132" t="s">
        <v>865</v>
      </c>
      <c r="N327" s="498" t="s">
        <v>866</v>
      </c>
    </row>
    <row r="328" spans="1:14" ht="16" x14ac:dyDescent="0.2">
      <c r="A328" s="40" t="s">
        <v>125</v>
      </c>
      <c r="B328" s="41">
        <f t="shared" si="11"/>
        <v>-59.97</v>
      </c>
      <c r="C328" s="497">
        <f t="shared" si="12"/>
        <v>5571.0700000000088</v>
      </c>
      <c r="D328" s="37"/>
      <c r="E328" s="131">
        <v>20250608</v>
      </c>
      <c r="F328" s="132"/>
      <c r="G328" s="132" t="s">
        <v>362</v>
      </c>
      <c r="H328" s="133"/>
      <c r="I328" s="132" t="s">
        <v>611</v>
      </c>
      <c r="J328" s="132" t="s">
        <v>364</v>
      </c>
      <c r="K328" s="132">
        <v>-59.97</v>
      </c>
      <c r="L328" s="132" t="s">
        <v>612</v>
      </c>
      <c r="M328" s="132" t="s">
        <v>867</v>
      </c>
      <c r="N328" s="498" t="s">
        <v>868</v>
      </c>
    </row>
    <row r="329" spans="1:14" ht="16" x14ac:dyDescent="0.2">
      <c r="A329" s="40" t="s">
        <v>125</v>
      </c>
      <c r="B329" s="41">
        <f t="shared" si="11"/>
        <v>-31.5</v>
      </c>
      <c r="C329" s="497">
        <f t="shared" si="12"/>
        <v>5539.5700000000088</v>
      </c>
      <c r="D329" s="37"/>
      <c r="E329" s="131">
        <v>20250608</v>
      </c>
      <c r="F329" s="132"/>
      <c r="G329" s="132" t="s">
        <v>362</v>
      </c>
      <c r="H329" s="133"/>
      <c r="I329" s="132" t="s">
        <v>611</v>
      </c>
      <c r="J329" s="132" t="s">
        <v>364</v>
      </c>
      <c r="K329" s="132">
        <v>-31.5</v>
      </c>
      <c r="L329" s="132" t="s">
        <v>612</v>
      </c>
      <c r="M329" s="132" t="s">
        <v>869</v>
      </c>
      <c r="N329" s="498" t="s">
        <v>870</v>
      </c>
    </row>
    <row r="330" spans="1:14" ht="16" x14ac:dyDescent="0.2">
      <c r="A330" s="40" t="s">
        <v>125</v>
      </c>
      <c r="B330" s="41">
        <f t="shared" si="11"/>
        <v>-32</v>
      </c>
      <c r="C330" s="497">
        <f t="shared" si="12"/>
        <v>5507.5700000000088</v>
      </c>
      <c r="D330" s="37"/>
      <c r="E330" s="131">
        <v>20250608</v>
      </c>
      <c r="F330" s="132"/>
      <c r="G330" s="132" t="s">
        <v>362</v>
      </c>
      <c r="H330" s="133"/>
      <c r="I330" s="132" t="s">
        <v>611</v>
      </c>
      <c r="J330" s="132" t="s">
        <v>364</v>
      </c>
      <c r="K330" s="132">
        <v>-32</v>
      </c>
      <c r="L330" s="132" t="s">
        <v>612</v>
      </c>
      <c r="M330" s="132" t="s">
        <v>871</v>
      </c>
      <c r="N330" s="498" t="s">
        <v>872</v>
      </c>
    </row>
    <row r="331" spans="1:14" ht="16" x14ac:dyDescent="0.2">
      <c r="A331" s="40" t="s">
        <v>125</v>
      </c>
      <c r="B331" s="41">
        <f t="shared" si="11"/>
        <v>-229.15</v>
      </c>
      <c r="C331" s="497">
        <f t="shared" si="12"/>
        <v>5278.4200000000092</v>
      </c>
      <c r="D331" s="37"/>
      <c r="E331" s="131">
        <v>20250608</v>
      </c>
      <c r="F331" s="132"/>
      <c r="G331" s="132" t="s">
        <v>362</v>
      </c>
      <c r="H331" s="133"/>
      <c r="I331" s="132" t="s">
        <v>611</v>
      </c>
      <c r="J331" s="132" t="s">
        <v>364</v>
      </c>
      <c r="K331" s="132">
        <v>-229.15</v>
      </c>
      <c r="L331" s="132" t="s">
        <v>612</v>
      </c>
      <c r="M331" s="132" t="s">
        <v>873</v>
      </c>
      <c r="N331" s="498" t="s">
        <v>874</v>
      </c>
    </row>
    <row r="332" spans="1:14" ht="16" x14ac:dyDescent="0.2">
      <c r="A332" s="40" t="s">
        <v>203</v>
      </c>
      <c r="B332" s="41">
        <f t="shared" si="11"/>
        <v>-25</v>
      </c>
      <c r="C332" s="497">
        <f t="shared" si="12"/>
        <v>5253.4200000000092</v>
      </c>
      <c r="D332" s="37"/>
      <c r="E332" s="131">
        <v>20250611</v>
      </c>
      <c r="F332" s="132"/>
      <c r="G332" s="132" t="s">
        <v>362</v>
      </c>
      <c r="H332" s="132"/>
      <c r="I332" s="132" t="s">
        <v>363</v>
      </c>
      <c r="J332" s="132" t="s">
        <v>364</v>
      </c>
      <c r="K332" s="132">
        <v>-25</v>
      </c>
      <c r="L332" s="132" t="s">
        <v>365</v>
      </c>
      <c r="M332" s="132" t="s">
        <v>875</v>
      </c>
      <c r="N332" s="498" t="s">
        <v>876</v>
      </c>
    </row>
    <row r="333" spans="1:14" ht="16" x14ac:dyDescent="0.2">
      <c r="A333" s="40" t="s">
        <v>126</v>
      </c>
      <c r="B333" s="41">
        <f t="shared" si="11"/>
        <v>-519.87</v>
      </c>
      <c r="C333" s="497">
        <f t="shared" si="12"/>
        <v>4733.5500000000093</v>
      </c>
      <c r="D333" s="37"/>
      <c r="E333" s="131">
        <v>20250611</v>
      </c>
      <c r="F333" s="132"/>
      <c r="G333" s="132" t="s">
        <v>362</v>
      </c>
      <c r="H333" s="132"/>
      <c r="I333" s="132" t="s">
        <v>363</v>
      </c>
      <c r="J333" s="132" t="s">
        <v>364</v>
      </c>
      <c r="K333" s="132">
        <v>-519.87</v>
      </c>
      <c r="L333" s="132" t="s">
        <v>365</v>
      </c>
      <c r="M333" s="132" t="s">
        <v>877</v>
      </c>
      <c r="N333" s="498" t="s">
        <v>878</v>
      </c>
    </row>
    <row r="334" spans="1:14" ht="16" x14ac:dyDescent="0.2">
      <c r="A334" s="40" t="s">
        <v>126</v>
      </c>
      <c r="B334" s="41">
        <f t="shared" si="11"/>
        <v>-75</v>
      </c>
      <c r="C334" s="497">
        <f t="shared" si="12"/>
        <v>4658.5500000000093</v>
      </c>
      <c r="D334" s="37"/>
      <c r="E334" s="131">
        <v>20250611</v>
      </c>
      <c r="F334" s="132"/>
      <c r="G334" s="132" t="s">
        <v>362</v>
      </c>
      <c r="H334" s="132"/>
      <c r="I334" s="132" t="s">
        <v>363</v>
      </c>
      <c r="J334" s="132" t="s">
        <v>364</v>
      </c>
      <c r="K334" s="132">
        <v>-75</v>
      </c>
      <c r="L334" s="132" t="s">
        <v>365</v>
      </c>
      <c r="M334" s="132" t="s">
        <v>879</v>
      </c>
      <c r="N334" s="498" t="s">
        <v>880</v>
      </c>
    </row>
    <row r="335" spans="1:14" ht="16" x14ac:dyDescent="0.2">
      <c r="A335" s="40" t="s">
        <v>126</v>
      </c>
      <c r="B335" s="41">
        <f t="shared" si="11"/>
        <v>-63.6</v>
      </c>
      <c r="C335" s="497">
        <f t="shared" si="12"/>
        <v>4594.9500000000089</v>
      </c>
      <c r="D335" s="37"/>
      <c r="E335" s="131">
        <v>20250611</v>
      </c>
      <c r="F335" s="132"/>
      <c r="G335" s="132" t="s">
        <v>362</v>
      </c>
      <c r="H335" s="132"/>
      <c r="I335" s="132" t="s">
        <v>363</v>
      </c>
      <c r="J335" s="132" t="s">
        <v>364</v>
      </c>
      <c r="K335" s="132">
        <v>-63.6</v>
      </c>
      <c r="L335" s="132" t="s">
        <v>365</v>
      </c>
      <c r="M335" s="132" t="s">
        <v>877</v>
      </c>
      <c r="N335" s="498" t="s">
        <v>881</v>
      </c>
    </row>
    <row r="336" spans="1:14" ht="16" x14ac:dyDescent="0.2">
      <c r="A336" s="97" t="s">
        <v>80</v>
      </c>
      <c r="B336" s="41">
        <f t="shared" si="11"/>
        <v>323.76</v>
      </c>
      <c r="C336" s="497">
        <f t="shared" si="12"/>
        <v>4918.7100000000091</v>
      </c>
      <c r="D336" s="37"/>
      <c r="E336" s="131">
        <v>20250613</v>
      </c>
      <c r="F336" s="132"/>
      <c r="G336" s="132" t="s">
        <v>362</v>
      </c>
      <c r="H336" s="132"/>
      <c r="I336" s="132" t="s">
        <v>372</v>
      </c>
      <c r="J336" s="132" t="s">
        <v>373</v>
      </c>
      <c r="K336" s="132">
        <v>323.76</v>
      </c>
      <c r="L336" s="132" t="s">
        <v>374</v>
      </c>
      <c r="M336" s="132" t="s">
        <v>882</v>
      </c>
      <c r="N336" s="498"/>
    </row>
    <row r="337" spans="1:14" ht="16" x14ac:dyDescent="0.2">
      <c r="A337" s="40" t="s">
        <v>171</v>
      </c>
      <c r="B337" s="41">
        <f t="shared" si="11"/>
        <v>-18.329999999999998</v>
      </c>
      <c r="C337" s="497">
        <f t="shared" si="12"/>
        <v>4900.3800000000092</v>
      </c>
      <c r="D337" s="37"/>
      <c r="E337" s="131">
        <v>20250615</v>
      </c>
      <c r="F337" s="132"/>
      <c r="G337" s="132" t="s">
        <v>362</v>
      </c>
      <c r="H337" s="132"/>
      <c r="I337" s="132" t="s">
        <v>363</v>
      </c>
      <c r="J337" s="132" t="s">
        <v>364</v>
      </c>
      <c r="K337" s="132">
        <v>-18.329999999999998</v>
      </c>
      <c r="L337" s="132" t="s">
        <v>365</v>
      </c>
      <c r="M337" s="132" t="s">
        <v>883</v>
      </c>
      <c r="N337" s="498" t="s">
        <v>884</v>
      </c>
    </row>
    <row r="338" spans="1:14" ht="16" x14ac:dyDescent="0.2">
      <c r="A338" s="40" t="s">
        <v>233</v>
      </c>
      <c r="B338" s="41">
        <f t="shared" si="11"/>
        <v>-35.43</v>
      </c>
      <c r="C338" s="497">
        <f t="shared" si="12"/>
        <v>4864.9500000000089</v>
      </c>
      <c r="D338" s="37"/>
      <c r="E338" s="131">
        <v>20250615</v>
      </c>
      <c r="F338" s="132"/>
      <c r="G338" s="132" t="s">
        <v>362</v>
      </c>
      <c r="H338" s="132"/>
      <c r="I338" s="132" t="s">
        <v>363</v>
      </c>
      <c r="J338" s="132" t="s">
        <v>364</v>
      </c>
      <c r="K338" s="132">
        <v>-35.43</v>
      </c>
      <c r="L338" s="132" t="s">
        <v>365</v>
      </c>
      <c r="M338" s="132" t="s">
        <v>885</v>
      </c>
      <c r="N338" s="498" t="s">
        <v>886</v>
      </c>
    </row>
    <row r="339" spans="1:14" ht="16" x14ac:dyDescent="0.2">
      <c r="A339" s="40" t="s">
        <v>233</v>
      </c>
      <c r="B339" s="41">
        <f t="shared" si="11"/>
        <v>-350</v>
      </c>
      <c r="C339" s="497">
        <f t="shared" si="12"/>
        <v>4514.9500000000089</v>
      </c>
      <c r="D339" s="37"/>
      <c r="E339" s="131">
        <v>20250615</v>
      </c>
      <c r="F339" s="132"/>
      <c r="G339" s="132" t="s">
        <v>362</v>
      </c>
      <c r="H339" s="132"/>
      <c r="I339" s="132" t="s">
        <v>363</v>
      </c>
      <c r="J339" s="132" t="s">
        <v>364</v>
      </c>
      <c r="K339" s="132">
        <v>-350</v>
      </c>
      <c r="L339" s="132" t="s">
        <v>365</v>
      </c>
      <c r="M339" s="132" t="s">
        <v>887</v>
      </c>
      <c r="N339" s="498" t="s">
        <v>888</v>
      </c>
    </row>
    <row r="340" spans="1:14" ht="16" x14ac:dyDescent="0.2">
      <c r="A340" s="97" t="s">
        <v>80</v>
      </c>
      <c r="B340" s="41">
        <f t="shared" si="11"/>
        <v>82.9</v>
      </c>
      <c r="C340" s="497">
        <f t="shared" si="12"/>
        <v>4597.8500000000085</v>
      </c>
      <c r="D340" s="37"/>
      <c r="E340" s="131">
        <v>20250616</v>
      </c>
      <c r="F340" s="132"/>
      <c r="G340" s="132" t="s">
        <v>362</v>
      </c>
      <c r="H340" s="132"/>
      <c r="I340" s="132" t="s">
        <v>372</v>
      </c>
      <c r="J340" s="132" t="s">
        <v>373</v>
      </c>
      <c r="K340" s="132">
        <v>82.9</v>
      </c>
      <c r="L340" s="132" t="s">
        <v>374</v>
      </c>
      <c r="M340" s="132" t="s">
        <v>889</v>
      </c>
      <c r="N340" s="498"/>
    </row>
    <row r="341" spans="1:14" ht="16" x14ac:dyDescent="0.2">
      <c r="A341" s="40" t="s">
        <v>103</v>
      </c>
      <c r="B341" s="41">
        <f t="shared" si="11"/>
        <v>-30.25</v>
      </c>
      <c r="C341" s="497">
        <f t="shared" si="12"/>
        <v>4567.6000000000085</v>
      </c>
      <c r="D341" s="37"/>
      <c r="E341" s="131">
        <v>20250616</v>
      </c>
      <c r="F341" s="132"/>
      <c r="G341" s="132" t="s">
        <v>362</v>
      </c>
      <c r="H341" s="132"/>
      <c r="I341" s="132" t="s">
        <v>368</v>
      </c>
      <c r="J341" s="132" t="s">
        <v>364</v>
      </c>
      <c r="K341" s="132">
        <v>-30.25</v>
      </c>
      <c r="L341" s="132" t="s">
        <v>369</v>
      </c>
      <c r="M341" s="132" t="s">
        <v>890</v>
      </c>
      <c r="N341" s="498"/>
    </row>
    <row r="342" spans="1:14" ht="16" x14ac:dyDescent="0.2">
      <c r="A342" s="40" t="s">
        <v>724</v>
      </c>
      <c r="B342" s="41">
        <f t="shared" si="11"/>
        <v>-26.98</v>
      </c>
      <c r="C342" s="497">
        <f t="shared" si="12"/>
        <v>4540.620000000009</v>
      </c>
      <c r="D342" s="37"/>
      <c r="E342" s="131">
        <v>20250617</v>
      </c>
      <c r="F342" s="132"/>
      <c r="G342" s="132" t="s">
        <v>362</v>
      </c>
      <c r="H342" s="132"/>
      <c r="I342" s="132" t="s">
        <v>363</v>
      </c>
      <c r="J342" s="132" t="s">
        <v>364</v>
      </c>
      <c r="K342" s="132">
        <v>-26.98</v>
      </c>
      <c r="L342" s="132" t="s">
        <v>365</v>
      </c>
      <c r="M342" s="132" t="s">
        <v>891</v>
      </c>
      <c r="N342" s="498" t="s">
        <v>892</v>
      </c>
    </row>
    <row r="343" spans="1:14" ht="16" x14ac:dyDescent="0.2">
      <c r="A343" s="40" t="s">
        <v>125</v>
      </c>
      <c r="B343" s="41">
        <f t="shared" si="11"/>
        <v>-269.85000000000002</v>
      </c>
      <c r="C343" s="497">
        <f t="shared" si="12"/>
        <v>4270.7700000000086</v>
      </c>
      <c r="D343" s="37"/>
      <c r="E343" s="131">
        <v>20250617</v>
      </c>
      <c r="F343" s="132"/>
      <c r="G343" s="132" t="s">
        <v>362</v>
      </c>
      <c r="H343" s="132"/>
      <c r="I343" s="132" t="s">
        <v>363</v>
      </c>
      <c r="J343" s="132" t="s">
        <v>364</v>
      </c>
      <c r="K343" s="132">
        <v>-269.85000000000002</v>
      </c>
      <c r="L343" s="132" t="s">
        <v>365</v>
      </c>
      <c r="M343" s="132" t="s">
        <v>893</v>
      </c>
      <c r="N343" s="498" t="s">
        <v>894</v>
      </c>
    </row>
    <row r="344" spans="1:14" ht="16" x14ac:dyDescent="0.2">
      <c r="A344" s="40" t="s">
        <v>125</v>
      </c>
      <c r="B344" s="41">
        <f t="shared" si="11"/>
        <v>-350.85</v>
      </c>
      <c r="C344" s="497">
        <f t="shared" si="12"/>
        <v>3919.9200000000087</v>
      </c>
      <c r="D344" s="37"/>
      <c r="E344" s="131">
        <v>20250617</v>
      </c>
      <c r="F344" s="132"/>
      <c r="G344" s="132" t="s">
        <v>362</v>
      </c>
      <c r="H344" s="132"/>
      <c r="I344" s="132" t="s">
        <v>363</v>
      </c>
      <c r="J344" s="132" t="s">
        <v>364</v>
      </c>
      <c r="K344" s="132">
        <v>-350.85</v>
      </c>
      <c r="L344" s="132" t="s">
        <v>365</v>
      </c>
      <c r="M344" s="132" t="s">
        <v>895</v>
      </c>
      <c r="N344" s="498" t="s">
        <v>896</v>
      </c>
    </row>
    <row r="345" spans="1:14" ht="16" x14ac:dyDescent="0.2">
      <c r="A345" s="40" t="s">
        <v>125</v>
      </c>
      <c r="B345" s="41">
        <f t="shared" si="11"/>
        <v>-167.87</v>
      </c>
      <c r="C345" s="497">
        <f t="shared" si="12"/>
        <v>3752.0500000000088</v>
      </c>
      <c r="D345" s="37"/>
      <c r="E345" s="131">
        <v>20250617</v>
      </c>
      <c r="F345" s="132"/>
      <c r="G345" s="132" t="s">
        <v>362</v>
      </c>
      <c r="H345" s="132"/>
      <c r="I345" s="132" t="s">
        <v>363</v>
      </c>
      <c r="J345" s="132" t="s">
        <v>364</v>
      </c>
      <c r="K345" s="132">
        <v>-167.87</v>
      </c>
      <c r="L345" s="132" t="s">
        <v>365</v>
      </c>
      <c r="M345" s="132" t="s">
        <v>897</v>
      </c>
      <c r="N345" s="498" t="s">
        <v>898</v>
      </c>
    </row>
    <row r="346" spans="1:14" ht="16" x14ac:dyDescent="0.2">
      <c r="A346" s="40" t="s">
        <v>133</v>
      </c>
      <c r="B346" s="41">
        <f t="shared" ref="B346:B409" si="13">K346</f>
        <v>-99.9</v>
      </c>
      <c r="C346" s="497">
        <f t="shared" ref="C346:C409" si="14">C345+B346</f>
        <v>3652.1500000000087</v>
      </c>
      <c r="D346" s="37"/>
      <c r="E346" s="131">
        <v>20250617</v>
      </c>
      <c r="F346" s="132"/>
      <c r="G346" s="132" t="s">
        <v>362</v>
      </c>
      <c r="H346" s="132"/>
      <c r="I346" s="132" t="s">
        <v>363</v>
      </c>
      <c r="J346" s="132" t="s">
        <v>364</v>
      </c>
      <c r="K346" s="132">
        <v>-99.9</v>
      </c>
      <c r="L346" s="132" t="s">
        <v>365</v>
      </c>
      <c r="M346" s="132" t="s">
        <v>899</v>
      </c>
      <c r="N346" s="498" t="s">
        <v>900</v>
      </c>
    </row>
    <row r="347" spans="1:14" ht="16" x14ac:dyDescent="0.2">
      <c r="A347" s="97" t="s">
        <v>80</v>
      </c>
      <c r="B347" s="41">
        <f t="shared" si="13"/>
        <v>80.81</v>
      </c>
      <c r="C347" s="497">
        <f t="shared" si="14"/>
        <v>3732.9600000000087</v>
      </c>
      <c r="D347" s="37"/>
      <c r="E347" s="131">
        <v>20250617</v>
      </c>
      <c r="F347" s="132"/>
      <c r="G347" s="132" t="s">
        <v>362</v>
      </c>
      <c r="H347" s="132"/>
      <c r="I347" s="132" t="s">
        <v>372</v>
      </c>
      <c r="J347" s="132" t="s">
        <v>373</v>
      </c>
      <c r="K347" s="132">
        <v>80.81</v>
      </c>
      <c r="L347" s="132" t="s">
        <v>374</v>
      </c>
      <c r="M347" s="132" t="s">
        <v>901</v>
      </c>
      <c r="N347" s="498"/>
    </row>
    <row r="348" spans="1:14" ht="16" x14ac:dyDescent="0.2">
      <c r="A348" s="97" t="s">
        <v>80</v>
      </c>
      <c r="B348" s="41">
        <f t="shared" si="13"/>
        <v>173.5</v>
      </c>
      <c r="C348" s="497">
        <f t="shared" si="14"/>
        <v>3906.4600000000087</v>
      </c>
      <c r="D348" s="37"/>
      <c r="E348" s="131">
        <v>20250618</v>
      </c>
      <c r="F348" s="132"/>
      <c r="G348" s="132" t="s">
        <v>362</v>
      </c>
      <c r="H348" s="132"/>
      <c r="I348" s="132" t="s">
        <v>372</v>
      </c>
      <c r="J348" s="132" t="s">
        <v>373</v>
      </c>
      <c r="K348" s="132">
        <v>173.5</v>
      </c>
      <c r="L348" s="132" t="s">
        <v>374</v>
      </c>
      <c r="M348" s="132" t="s">
        <v>902</v>
      </c>
      <c r="N348" s="498"/>
    </row>
    <row r="349" spans="1:14" ht="16" x14ac:dyDescent="0.2">
      <c r="A349" s="40" t="s">
        <v>201</v>
      </c>
      <c r="B349" s="41">
        <f t="shared" si="13"/>
        <v>-43.85</v>
      </c>
      <c r="C349" s="497">
        <f t="shared" si="14"/>
        <v>3862.6100000000088</v>
      </c>
      <c r="D349" s="37"/>
      <c r="E349" s="131">
        <v>20250619</v>
      </c>
      <c r="F349" s="132"/>
      <c r="G349" s="132" t="s">
        <v>362</v>
      </c>
      <c r="H349" s="133"/>
      <c r="I349" s="132" t="s">
        <v>611</v>
      </c>
      <c r="J349" s="132" t="s">
        <v>364</v>
      </c>
      <c r="K349" s="132">
        <v>-43.85</v>
      </c>
      <c r="L349" s="132" t="s">
        <v>612</v>
      </c>
      <c r="M349" s="132" t="s">
        <v>903</v>
      </c>
      <c r="N349" s="498" t="s">
        <v>904</v>
      </c>
    </row>
    <row r="350" spans="1:14" ht="16" x14ac:dyDescent="0.2">
      <c r="A350" s="97" t="s">
        <v>80</v>
      </c>
      <c r="B350" s="41">
        <f t="shared" si="13"/>
        <v>216.55</v>
      </c>
      <c r="C350" s="497">
        <f t="shared" si="14"/>
        <v>4079.1600000000089</v>
      </c>
      <c r="D350" s="37"/>
      <c r="E350" s="131">
        <v>20250619</v>
      </c>
      <c r="F350" s="132"/>
      <c r="G350" s="132" t="s">
        <v>362</v>
      </c>
      <c r="H350" s="132"/>
      <c r="I350" s="132" t="s">
        <v>372</v>
      </c>
      <c r="J350" s="132" t="s">
        <v>373</v>
      </c>
      <c r="K350" s="132">
        <v>216.55</v>
      </c>
      <c r="L350" s="132" t="s">
        <v>374</v>
      </c>
      <c r="M350" s="132" t="s">
        <v>905</v>
      </c>
      <c r="N350" s="498"/>
    </row>
    <row r="351" spans="1:14" ht="16" x14ac:dyDescent="0.2">
      <c r="A351" s="97" t="s">
        <v>80</v>
      </c>
      <c r="B351" s="41">
        <f t="shared" si="13"/>
        <v>110.54</v>
      </c>
      <c r="C351" s="497">
        <f t="shared" si="14"/>
        <v>4189.7000000000089</v>
      </c>
      <c r="D351" s="37"/>
      <c r="E351" s="131">
        <v>20250620</v>
      </c>
      <c r="F351" s="132"/>
      <c r="G351" s="132" t="s">
        <v>362</v>
      </c>
      <c r="H351" s="132"/>
      <c r="I351" s="132" t="s">
        <v>372</v>
      </c>
      <c r="J351" s="132" t="s">
        <v>373</v>
      </c>
      <c r="K351" s="132">
        <v>110.54</v>
      </c>
      <c r="L351" s="132" t="s">
        <v>374</v>
      </c>
      <c r="M351" s="132" t="s">
        <v>906</v>
      </c>
      <c r="N351" s="498"/>
    </row>
    <row r="352" spans="1:14" ht="16" x14ac:dyDescent="0.2">
      <c r="A352" s="40" t="s">
        <v>121</v>
      </c>
      <c r="B352" s="41">
        <f t="shared" si="13"/>
        <v>-153.44999999999999</v>
      </c>
      <c r="C352" s="497">
        <f t="shared" si="14"/>
        <v>4036.2500000000091</v>
      </c>
      <c r="D352" s="37"/>
      <c r="E352" s="131">
        <v>20250623</v>
      </c>
      <c r="F352" s="132"/>
      <c r="G352" s="132" t="s">
        <v>362</v>
      </c>
      <c r="H352" s="132"/>
      <c r="I352" s="132" t="s">
        <v>363</v>
      </c>
      <c r="J352" s="132" t="s">
        <v>364</v>
      </c>
      <c r="K352" s="132">
        <v>-153.44999999999999</v>
      </c>
      <c r="L352" s="132" t="s">
        <v>365</v>
      </c>
      <c r="M352" s="132" t="s">
        <v>907</v>
      </c>
      <c r="N352" s="498" t="s">
        <v>908</v>
      </c>
    </row>
    <row r="353" spans="1:15" ht="16" x14ac:dyDescent="0.2">
      <c r="A353" s="97" t="s">
        <v>80</v>
      </c>
      <c r="B353" s="41">
        <f t="shared" si="13"/>
        <v>138.94999999999999</v>
      </c>
      <c r="C353" s="497">
        <f t="shared" si="14"/>
        <v>4175.2000000000089</v>
      </c>
      <c r="D353" s="37"/>
      <c r="E353" s="131">
        <v>20250623</v>
      </c>
      <c r="F353" s="132"/>
      <c r="G353" s="132" t="s">
        <v>362</v>
      </c>
      <c r="H353" s="132"/>
      <c r="I353" s="132" t="s">
        <v>372</v>
      </c>
      <c r="J353" s="132" t="s">
        <v>373</v>
      </c>
      <c r="K353" s="132">
        <v>138.94999999999999</v>
      </c>
      <c r="L353" s="132" t="s">
        <v>374</v>
      </c>
      <c r="M353" s="132" t="s">
        <v>909</v>
      </c>
    </row>
    <row r="354" spans="1:15" ht="16" x14ac:dyDescent="0.2">
      <c r="A354" s="40" t="s">
        <v>94</v>
      </c>
      <c r="B354" s="41">
        <f t="shared" si="13"/>
        <v>-18.14</v>
      </c>
      <c r="C354" s="497">
        <f t="shared" si="14"/>
        <v>4157.0600000000086</v>
      </c>
      <c r="D354" s="37"/>
      <c r="E354" s="131">
        <v>20250623</v>
      </c>
      <c r="F354" s="132"/>
      <c r="G354" s="132" t="s">
        <v>362</v>
      </c>
      <c r="H354" s="132"/>
      <c r="I354" s="132" t="s">
        <v>368</v>
      </c>
      <c r="J354" s="132" t="s">
        <v>364</v>
      </c>
      <c r="K354" s="132">
        <v>-18.14</v>
      </c>
      <c r="L354" s="132" t="s">
        <v>369</v>
      </c>
      <c r="M354" s="132" t="s">
        <v>910</v>
      </c>
      <c r="N354" s="132"/>
      <c r="O354" t="s">
        <v>411</v>
      </c>
    </row>
    <row r="355" spans="1:15" ht="16" x14ac:dyDescent="0.2">
      <c r="A355" s="40" t="s">
        <v>239</v>
      </c>
      <c r="B355" s="41">
        <f t="shared" si="13"/>
        <v>-21</v>
      </c>
      <c r="C355" s="497">
        <f t="shared" si="14"/>
        <v>4136.0600000000086</v>
      </c>
      <c r="D355" s="37"/>
      <c r="E355" s="131">
        <v>20250624</v>
      </c>
      <c r="F355" s="132"/>
      <c r="G355" s="132" t="s">
        <v>362</v>
      </c>
      <c r="H355" s="132"/>
      <c r="I355" s="132" t="s">
        <v>363</v>
      </c>
      <c r="J355" s="132" t="s">
        <v>364</v>
      </c>
      <c r="K355" s="132">
        <v>-21</v>
      </c>
      <c r="L355" s="132" t="s">
        <v>365</v>
      </c>
      <c r="M355" s="132" t="s">
        <v>911</v>
      </c>
      <c r="N355" s="498" t="s">
        <v>912</v>
      </c>
    </row>
    <row r="356" spans="1:15" ht="16" x14ac:dyDescent="0.2">
      <c r="A356" s="40" t="s">
        <v>200</v>
      </c>
      <c r="B356" s="41">
        <f t="shared" si="13"/>
        <v>-23.27</v>
      </c>
      <c r="C356" s="497">
        <f t="shared" si="14"/>
        <v>4112.7900000000081</v>
      </c>
      <c r="D356" s="37"/>
      <c r="E356" s="131">
        <v>20250624</v>
      </c>
      <c r="F356" s="132"/>
      <c r="G356" s="132" t="s">
        <v>362</v>
      </c>
      <c r="H356" s="132"/>
      <c r="I356" s="132" t="s">
        <v>363</v>
      </c>
      <c r="J356" s="132" t="s">
        <v>364</v>
      </c>
      <c r="K356" s="132">
        <v>-23.27</v>
      </c>
      <c r="L356" s="132" t="s">
        <v>365</v>
      </c>
      <c r="M356" s="132" t="s">
        <v>913</v>
      </c>
      <c r="N356" s="498" t="s">
        <v>914</v>
      </c>
    </row>
    <row r="357" spans="1:15" ht="16" x14ac:dyDescent="0.2">
      <c r="A357" s="40" t="s">
        <v>237</v>
      </c>
      <c r="B357" s="41">
        <f t="shared" si="13"/>
        <v>-5278.5</v>
      </c>
      <c r="C357" s="497">
        <f t="shared" si="14"/>
        <v>-1165.7099999999919</v>
      </c>
      <c r="D357" s="37"/>
      <c r="E357" s="131">
        <v>20250625</v>
      </c>
      <c r="F357" s="132"/>
      <c r="G357" s="132" t="s">
        <v>362</v>
      </c>
      <c r="H357" s="132"/>
      <c r="I357" s="132" t="s">
        <v>363</v>
      </c>
      <c r="J357" s="132" t="s">
        <v>364</v>
      </c>
      <c r="K357" s="132">
        <v>-5278.5</v>
      </c>
      <c r="L357" s="132" t="s">
        <v>365</v>
      </c>
      <c r="M357" s="132" t="s">
        <v>915</v>
      </c>
      <c r="N357" s="498" t="s">
        <v>916</v>
      </c>
    </row>
    <row r="358" spans="1:15" ht="16" x14ac:dyDescent="0.2">
      <c r="A358" s="40" t="s">
        <v>317</v>
      </c>
      <c r="B358" s="41">
        <f t="shared" si="13"/>
        <v>2000</v>
      </c>
      <c r="C358" s="497">
        <f t="shared" si="14"/>
        <v>834.29000000000815</v>
      </c>
      <c r="D358" s="37"/>
      <c r="E358" s="131">
        <v>20250625</v>
      </c>
      <c r="F358" s="132"/>
      <c r="G358" s="132" t="s">
        <v>362</v>
      </c>
      <c r="H358" s="133"/>
      <c r="I358" s="132" t="s">
        <v>363</v>
      </c>
      <c r="J358" s="132" t="s">
        <v>373</v>
      </c>
      <c r="K358" s="132">
        <v>2000</v>
      </c>
      <c r="L358" s="132" t="s">
        <v>365</v>
      </c>
      <c r="M358" s="132" t="s">
        <v>917</v>
      </c>
      <c r="N358" s="498" t="s">
        <v>918</v>
      </c>
    </row>
    <row r="359" spans="1:15" ht="16" x14ac:dyDescent="0.2">
      <c r="A359" s="40" t="s">
        <v>299</v>
      </c>
      <c r="B359" s="41">
        <f t="shared" si="13"/>
        <v>-206.93</v>
      </c>
      <c r="C359" s="497">
        <f t="shared" si="14"/>
        <v>627.36000000000809</v>
      </c>
      <c r="D359" s="37"/>
      <c r="E359" s="131">
        <v>20250625</v>
      </c>
      <c r="F359" s="132"/>
      <c r="G359" s="132" t="s">
        <v>362</v>
      </c>
      <c r="H359" s="132"/>
      <c r="I359" s="132" t="s">
        <v>363</v>
      </c>
      <c r="J359" s="132" t="s">
        <v>364</v>
      </c>
      <c r="K359" s="132">
        <v>-206.93</v>
      </c>
      <c r="L359" s="132" t="s">
        <v>365</v>
      </c>
      <c r="M359" s="132" t="s">
        <v>919</v>
      </c>
      <c r="N359" s="498" t="s">
        <v>920</v>
      </c>
    </row>
    <row r="360" spans="1:15" ht="16" x14ac:dyDescent="0.2">
      <c r="A360" s="97" t="s">
        <v>80</v>
      </c>
      <c r="B360" s="41">
        <f t="shared" si="13"/>
        <v>109.28</v>
      </c>
      <c r="C360" s="497">
        <f t="shared" si="14"/>
        <v>736.64000000000806</v>
      </c>
      <c r="D360" s="37"/>
      <c r="E360" s="131">
        <v>20250625</v>
      </c>
      <c r="F360" s="132"/>
      <c r="G360" s="132" t="s">
        <v>362</v>
      </c>
      <c r="H360" s="132"/>
      <c r="I360" s="132" t="s">
        <v>372</v>
      </c>
      <c r="J360" s="132" t="s">
        <v>373</v>
      </c>
      <c r="K360" s="132">
        <v>109.28</v>
      </c>
      <c r="L360" s="132" t="s">
        <v>374</v>
      </c>
      <c r="M360" s="132" t="s">
        <v>921</v>
      </c>
    </row>
    <row r="361" spans="1:15" ht="16" x14ac:dyDescent="0.2">
      <c r="A361" s="97" t="s">
        <v>80</v>
      </c>
      <c r="B361" s="41">
        <f t="shared" si="13"/>
        <v>244.65</v>
      </c>
      <c r="C361" s="497">
        <f t="shared" si="14"/>
        <v>981.29000000000804</v>
      </c>
      <c r="D361" s="37"/>
      <c r="E361" s="131">
        <v>20250626</v>
      </c>
      <c r="F361" s="132"/>
      <c r="G361" s="132" t="s">
        <v>362</v>
      </c>
      <c r="H361" s="132"/>
      <c r="I361" s="132" t="s">
        <v>372</v>
      </c>
      <c r="J361" s="132" t="s">
        <v>373</v>
      </c>
      <c r="K361" s="132">
        <v>244.65</v>
      </c>
      <c r="L361" s="132" t="s">
        <v>374</v>
      </c>
      <c r="M361" s="132" t="s">
        <v>922</v>
      </c>
      <c r="N361" s="498"/>
    </row>
    <row r="362" spans="1:15" ht="16" x14ac:dyDescent="0.2">
      <c r="A362" s="40" t="s">
        <v>100</v>
      </c>
      <c r="B362" s="41">
        <f t="shared" si="13"/>
        <v>-44.53</v>
      </c>
      <c r="C362" s="497">
        <f t="shared" si="14"/>
        <v>936.76000000000806</v>
      </c>
      <c r="D362" s="37"/>
      <c r="E362" s="131">
        <v>20250626</v>
      </c>
      <c r="F362" s="132"/>
      <c r="G362" s="132" t="s">
        <v>362</v>
      </c>
      <c r="H362" s="133"/>
      <c r="I362" s="132" t="s">
        <v>382</v>
      </c>
      <c r="J362" s="132" t="s">
        <v>364</v>
      </c>
      <c r="K362" s="132">
        <v>-44.53</v>
      </c>
      <c r="L362" s="132" t="s">
        <v>383</v>
      </c>
      <c r="M362" s="132" t="s">
        <v>923</v>
      </c>
      <c r="N362" s="498"/>
    </row>
    <row r="363" spans="1:15" ht="16" x14ac:dyDescent="0.2">
      <c r="A363" s="97" t="s">
        <v>80</v>
      </c>
      <c r="B363" s="41">
        <f t="shared" si="13"/>
        <v>125.05</v>
      </c>
      <c r="C363" s="497">
        <f t="shared" si="14"/>
        <v>1061.8100000000081</v>
      </c>
      <c r="D363" s="37"/>
      <c r="E363" s="131">
        <v>20250627</v>
      </c>
      <c r="F363" s="132"/>
      <c r="G363" s="132" t="s">
        <v>362</v>
      </c>
      <c r="H363" s="132"/>
      <c r="I363" s="132" t="s">
        <v>372</v>
      </c>
      <c r="J363" s="132" t="s">
        <v>373</v>
      </c>
      <c r="K363" s="132">
        <v>125.05</v>
      </c>
      <c r="L363" s="132" t="s">
        <v>374</v>
      </c>
      <c r="M363" s="132" t="s">
        <v>924</v>
      </c>
      <c r="N363" s="498"/>
    </row>
    <row r="364" spans="1:15" ht="16" x14ac:dyDescent="0.2">
      <c r="A364" s="40" t="s">
        <v>191</v>
      </c>
      <c r="B364" s="41">
        <f t="shared" si="13"/>
        <v>-27.29</v>
      </c>
      <c r="C364" s="497">
        <f t="shared" si="14"/>
        <v>1034.5200000000082</v>
      </c>
      <c r="D364" s="37"/>
      <c r="E364" s="131">
        <v>20250708</v>
      </c>
      <c r="F364" s="132"/>
      <c r="G364" s="132" t="s">
        <v>362</v>
      </c>
      <c r="H364" s="132"/>
      <c r="I364" s="132" t="s">
        <v>363</v>
      </c>
      <c r="J364" s="132" t="s">
        <v>364</v>
      </c>
      <c r="K364" s="132">
        <v>-27.29</v>
      </c>
      <c r="L364" s="132" t="s">
        <v>365</v>
      </c>
      <c r="M364" s="132" t="s">
        <v>925</v>
      </c>
      <c r="N364" s="132" t="s">
        <v>926</v>
      </c>
    </row>
    <row r="365" spans="1:15" ht="16" x14ac:dyDescent="0.2">
      <c r="A365" s="40" t="s">
        <v>340</v>
      </c>
      <c r="B365" s="41">
        <f t="shared" si="13"/>
        <v>-142.5</v>
      </c>
      <c r="C365" s="497">
        <f t="shared" si="14"/>
        <v>892.02000000000817</v>
      </c>
      <c r="D365" s="37"/>
      <c r="E365" s="131">
        <v>20250708</v>
      </c>
      <c r="F365" s="132"/>
      <c r="G365" s="132" t="s">
        <v>362</v>
      </c>
      <c r="H365" s="132"/>
      <c r="I365" s="132" t="s">
        <v>363</v>
      </c>
      <c r="J365" s="132" t="s">
        <v>364</v>
      </c>
      <c r="K365" s="132">
        <v>-142.5</v>
      </c>
      <c r="L365" s="132" t="s">
        <v>365</v>
      </c>
      <c r="M365" s="132" t="s">
        <v>927</v>
      </c>
      <c r="N365" s="132" t="s">
        <v>928</v>
      </c>
    </row>
    <row r="366" spans="1:15" ht="16" x14ac:dyDescent="0.2">
      <c r="A366" s="40" t="s">
        <v>236</v>
      </c>
      <c r="B366" s="41">
        <f t="shared" si="13"/>
        <v>-308.55</v>
      </c>
      <c r="C366" s="497">
        <f t="shared" si="14"/>
        <v>583.47000000000821</v>
      </c>
      <c r="D366" s="37"/>
      <c r="E366" s="131">
        <v>20250708</v>
      </c>
      <c r="F366" s="132"/>
      <c r="G366" s="132" t="s">
        <v>362</v>
      </c>
      <c r="H366" s="132"/>
      <c r="I366" s="132" t="s">
        <v>363</v>
      </c>
      <c r="J366" s="132" t="s">
        <v>364</v>
      </c>
      <c r="K366" s="132">
        <v>-308.55</v>
      </c>
      <c r="L366" s="132" t="s">
        <v>365</v>
      </c>
      <c r="M366" s="132" t="s">
        <v>929</v>
      </c>
      <c r="N366" s="132" t="s">
        <v>930</v>
      </c>
    </row>
    <row r="367" spans="1:15" ht="16" x14ac:dyDescent="0.2">
      <c r="A367" s="40" t="s">
        <v>200</v>
      </c>
      <c r="B367" s="41">
        <f t="shared" si="13"/>
        <v>-9.58</v>
      </c>
      <c r="C367" s="497">
        <f t="shared" si="14"/>
        <v>573.89000000000817</v>
      </c>
      <c r="D367" s="37"/>
      <c r="E367" s="131">
        <v>20250708</v>
      </c>
      <c r="F367" s="132"/>
      <c r="G367" s="132" t="s">
        <v>362</v>
      </c>
      <c r="H367" s="132"/>
      <c r="I367" s="132" t="s">
        <v>363</v>
      </c>
      <c r="J367" s="132" t="s">
        <v>364</v>
      </c>
      <c r="K367" s="132">
        <v>-9.58</v>
      </c>
      <c r="L367" s="132" t="s">
        <v>365</v>
      </c>
      <c r="M367" s="132" t="s">
        <v>931</v>
      </c>
      <c r="N367" s="498" t="s">
        <v>932</v>
      </c>
    </row>
    <row r="368" spans="1:15" ht="16" x14ac:dyDescent="0.2">
      <c r="A368" s="97" t="s">
        <v>80</v>
      </c>
      <c r="B368" s="41">
        <f t="shared" si="13"/>
        <v>56.25</v>
      </c>
      <c r="C368" s="497">
        <f t="shared" si="14"/>
        <v>630.14000000000817</v>
      </c>
      <c r="D368" s="37"/>
      <c r="E368" s="131">
        <v>20250711</v>
      </c>
      <c r="F368" s="132"/>
      <c r="G368" s="132" t="s">
        <v>362</v>
      </c>
      <c r="H368" s="132"/>
      <c r="I368" s="132" t="s">
        <v>372</v>
      </c>
      <c r="J368" s="132" t="s">
        <v>373</v>
      </c>
      <c r="K368" s="132">
        <v>56.25</v>
      </c>
      <c r="L368" s="132" t="s">
        <v>374</v>
      </c>
      <c r="M368" s="132" t="s">
        <v>933</v>
      </c>
    </row>
    <row r="369" spans="1:15" ht="16" x14ac:dyDescent="0.2">
      <c r="A369" s="40" t="s">
        <v>103</v>
      </c>
      <c r="B369" s="41">
        <f t="shared" si="13"/>
        <v>-30.25</v>
      </c>
      <c r="C369" s="497">
        <f t="shared" si="14"/>
        <v>599.89000000000817</v>
      </c>
      <c r="D369" s="37"/>
      <c r="E369" s="131">
        <v>20250715</v>
      </c>
      <c r="F369" s="132"/>
      <c r="G369" s="132" t="s">
        <v>362</v>
      </c>
      <c r="H369" s="132"/>
      <c r="I369" s="132" t="s">
        <v>368</v>
      </c>
      <c r="J369" s="132" t="s">
        <v>364</v>
      </c>
      <c r="K369" s="132">
        <v>-30.25</v>
      </c>
      <c r="L369" s="132" t="s">
        <v>369</v>
      </c>
      <c r="M369" s="132" t="s">
        <v>934</v>
      </c>
      <c r="N369" s="498"/>
    </row>
    <row r="370" spans="1:15" ht="16" x14ac:dyDescent="0.2">
      <c r="A370" s="40" t="s">
        <v>94</v>
      </c>
      <c r="B370" s="41">
        <f t="shared" si="13"/>
        <v>-18.14</v>
      </c>
      <c r="C370" s="497">
        <f t="shared" si="14"/>
        <v>581.75000000000819</v>
      </c>
      <c r="D370" s="37"/>
      <c r="E370" s="131">
        <v>20250722</v>
      </c>
      <c r="F370" s="132"/>
      <c r="G370" s="132" t="s">
        <v>362</v>
      </c>
      <c r="H370" s="132"/>
      <c r="I370" s="132" t="s">
        <v>368</v>
      </c>
      <c r="J370" s="132" t="s">
        <v>364</v>
      </c>
      <c r="K370" s="132">
        <v>-18.14</v>
      </c>
      <c r="L370" s="132" t="s">
        <v>369</v>
      </c>
      <c r="M370" s="132" t="s">
        <v>935</v>
      </c>
      <c r="N370" s="498"/>
      <c r="O370" t="s">
        <v>411</v>
      </c>
    </row>
    <row r="371" spans="1:15" ht="16" x14ac:dyDescent="0.2">
      <c r="A371" s="40" t="s">
        <v>140</v>
      </c>
      <c r="B371" s="41">
        <f t="shared" si="13"/>
        <v>-50</v>
      </c>
      <c r="C371" s="497">
        <f t="shared" si="14"/>
        <v>531.75000000000819</v>
      </c>
      <c r="D371" s="37"/>
      <c r="E371" s="131">
        <v>20250723</v>
      </c>
      <c r="F371" s="132"/>
      <c r="G371" s="132" t="s">
        <v>362</v>
      </c>
      <c r="H371" s="132"/>
      <c r="I371" s="132" t="s">
        <v>936</v>
      </c>
      <c r="J371" s="132" t="s">
        <v>364</v>
      </c>
      <c r="K371" s="132">
        <v>-50</v>
      </c>
      <c r="L371" s="132" t="s">
        <v>937</v>
      </c>
      <c r="M371" s="132" t="s">
        <v>938</v>
      </c>
      <c r="N371" s="498" t="s">
        <v>939</v>
      </c>
    </row>
    <row r="372" spans="1:15" ht="16" x14ac:dyDescent="0.2">
      <c r="A372" s="40" t="s">
        <v>100</v>
      </c>
      <c r="B372" s="41">
        <f t="shared" si="13"/>
        <v>-38.75</v>
      </c>
      <c r="C372" s="497">
        <f t="shared" si="14"/>
        <v>493.00000000000819</v>
      </c>
      <c r="D372" s="37"/>
      <c r="E372" s="131">
        <v>20250726</v>
      </c>
      <c r="F372" s="132"/>
      <c r="G372" s="132" t="s">
        <v>362</v>
      </c>
      <c r="H372" s="133"/>
      <c r="I372" s="132" t="s">
        <v>382</v>
      </c>
      <c r="J372" s="132" t="s">
        <v>364</v>
      </c>
      <c r="K372" s="132">
        <v>-38.75</v>
      </c>
      <c r="L372" s="132" t="s">
        <v>383</v>
      </c>
      <c r="M372" s="132" t="s">
        <v>940</v>
      </c>
      <c r="N372" s="498"/>
    </row>
    <row r="373" spans="1:15" ht="16" x14ac:dyDescent="0.2">
      <c r="A373" s="40" t="s">
        <v>321</v>
      </c>
      <c r="B373" s="41">
        <f t="shared" si="13"/>
        <v>5900</v>
      </c>
      <c r="C373" s="497">
        <f t="shared" si="14"/>
        <v>6393.0000000000082</v>
      </c>
      <c r="D373" s="37"/>
      <c r="E373" s="131">
        <v>20250730</v>
      </c>
      <c r="F373" s="132"/>
      <c r="G373" s="132" t="s">
        <v>362</v>
      </c>
      <c r="H373" s="132"/>
      <c r="I373" s="132" t="s">
        <v>372</v>
      </c>
      <c r="J373" s="132" t="s">
        <v>373</v>
      </c>
      <c r="K373" s="132">
        <v>5900</v>
      </c>
      <c r="L373" s="132" t="s">
        <v>374</v>
      </c>
      <c r="M373" s="132" t="s">
        <v>941</v>
      </c>
      <c r="N373" s="498"/>
    </row>
    <row r="374" spans="1:15" ht="16" x14ac:dyDescent="0.2">
      <c r="A374" s="40" t="s">
        <v>237</v>
      </c>
      <c r="B374" s="41">
        <f t="shared" si="13"/>
        <v>-493.86</v>
      </c>
      <c r="C374" s="497">
        <f t="shared" si="14"/>
        <v>5899.1400000000085</v>
      </c>
      <c r="D374" s="37"/>
      <c r="E374" s="131">
        <v>20250802</v>
      </c>
      <c r="F374" s="132"/>
      <c r="G374" s="132" t="s">
        <v>362</v>
      </c>
      <c r="H374" s="132"/>
      <c r="I374" s="132" t="s">
        <v>363</v>
      </c>
      <c r="J374" s="132" t="s">
        <v>364</v>
      </c>
      <c r="K374" s="132">
        <v>-493.86</v>
      </c>
      <c r="L374" s="132" t="s">
        <v>365</v>
      </c>
      <c r="M374" s="132" t="s">
        <v>942</v>
      </c>
      <c r="N374" s="498" t="s">
        <v>943</v>
      </c>
    </row>
    <row r="375" spans="1:15" ht="16" x14ac:dyDescent="0.2">
      <c r="A375" s="665" t="s">
        <v>87</v>
      </c>
      <c r="B375" s="41">
        <f t="shared" si="13"/>
        <v>-264.72000000000003</v>
      </c>
      <c r="C375" s="497">
        <f t="shared" si="14"/>
        <v>5634.4200000000083</v>
      </c>
      <c r="D375" s="37"/>
      <c r="E375" s="131">
        <v>20250802</v>
      </c>
      <c r="F375" s="132"/>
      <c r="G375" s="132" t="s">
        <v>362</v>
      </c>
      <c r="H375" s="132"/>
      <c r="I375" s="132" t="s">
        <v>363</v>
      </c>
      <c r="J375" s="132" t="s">
        <v>364</v>
      </c>
      <c r="K375" s="132">
        <v>-264.72000000000003</v>
      </c>
      <c r="L375" s="132" t="s">
        <v>365</v>
      </c>
      <c r="M375" s="132" t="s">
        <v>944</v>
      </c>
      <c r="N375" s="276" t="s">
        <v>945</v>
      </c>
    </row>
    <row r="376" spans="1:15" ht="16" x14ac:dyDescent="0.2">
      <c r="A376" s="40" t="s">
        <v>128</v>
      </c>
      <c r="B376" s="41">
        <f t="shared" si="13"/>
        <v>-500.4</v>
      </c>
      <c r="C376" s="497">
        <f t="shared" si="14"/>
        <v>5134.0200000000086</v>
      </c>
      <c r="D376" s="37"/>
      <c r="E376" s="131">
        <v>20250802</v>
      </c>
      <c r="F376" s="132"/>
      <c r="G376" s="132" t="s">
        <v>362</v>
      </c>
      <c r="H376" s="132"/>
      <c r="I376" s="132" t="s">
        <v>363</v>
      </c>
      <c r="J376" s="132" t="s">
        <v>364</v>
      </c>
      <c r="K376" s="132">
        <v>-500.4</v>
      </c>
      <c r="L376" s="132" t="s">
        <v>365</v>
      </c>
      <c r="M376" s="132" t="s">
        <v>946</v>
      </c>
      <c r="N376" s="276" t="s">
        <v>947</v>
      </c>
    </row>
    <row r="377" spans="1:15" ht="16" x14ac:dyDescent="0.2">
      <c r="A377" s="40" t="s">
        <v>302</v>
      </c>
      <c r="B377" s="41">
        <f t="shared" si="13"/>
        <v>-271.33999999999997</v>
      </c>
      <c r="C377" s="497">
        <f t="shared" si="14"/>
        <v>4862.6800000000085</v>
      </c>
      <c r="D377" s="37"/>
      <c r="E377" s="131">
        <v>20250802</v>
      </c>
      <c r="F377" s="132"/>
      <c r="G377" s="132" t="s">
        <v>362</v>
      </c>
      <c r="H377" s="132"/>
      <c r="I377" s="132" t="s">
        <v>363</v>
      </c>
      <c r="J377" s="132" t="s">
        <v>364</v>
      </c>
      <c r="K377" s="132">
        <v>-271.33999999999997</v>
      </c>
      <c r="L377" s="132" t="s">
        <v>365</v>
      </c>
      <c r="M377" s="132" t="s">
        <v>948</v>
      </c>
      <c r="N377" s="276" t="s">
        <v>949</v>
      </c>
    </row>
    <row r="378" spans="1:15" ht="16" x14ac:dyDescent="0.2">
      <c r="A378" s="97" t="s">
        <v>80</v>
      </c>
      <c r="B378" s="41">
        <f t="shared" si="13"/>
        <v>56.25</v>
      </c>
      <c r="C378" s="497">
        <f t="shared" si="14"/>
        <v>4918.9300000000085</v>
      </c>
      <c r="D378" s="37"/>
      <c r="E378" s="131">
        <v>20250806</v>
      </c>
      <c r="F378" s="132"/>
      <c r="G378" s="132" t="s">
        <v>362</v>
      </c>
      <c r="H378" s="132"/>
      <c r="I378" s="132" t="s">
        <v>372</v>
      </c>
      <c r="J378" s="132" t="s">
        <v>373</v>
      </c>
      <c r="K378" s="132">
        <v>56.25</v>
      </c>
      <c r="L378" s="132" t="s">
        <v>374</v>
      </c>
      <c r="M378" s="132" t="s">
        <v>950</v>
      </c>
    </row>
    <row r="379" spans="1:15" ht="16" x14ac:dyDescent="0.2">
      <c r="A379" s="97" t="s">
        <v>80</v>
      </c>
      <c r="B379" s="41">
        <f t="shared" si="13"/>
        <v>987.68</v>
      </c>
      <c r="C379" s="497">
        <f t="shared" si="14"/>
        <v>5906.6100000000088</v>
      </c>
      <c r="D379" s="37"/>
      <c r="E379" s="131">
        <v>20250813</v>
      </c>
      <c r="F379" s="132"/>
      <c r="G379" s="132" t="s">
        <v>362</v>
      </c>
      <c r="H379" s="132"/>
      <c r="I379" s="132" t="s">
        <v>372</v>
      </c>
      <c r="J379" s="132" t="s">
        <v>373</v>
      </c>
      <c r="K379" s="132">
        <v>987.68</v>
      </c>
      <c r="L379" s="132" t="s">
        <v>374</v>
      </c>
      <c r="M379" s="132" t="s">
        <v>951</v>
      </c>
    </row>
    <row r="380" spans="1:15" ht="16" x14ac:dyDescent="0.2">
      <c r="A380" s="97" t="s">
        <v>103</v>
      </c>
      <c r="B380" s="41">
        <f t="shared" si="13"/>
        <v>-30.25</v>
      </c>
      <c r="C380" s="497">
        <f t="shared" si="14"/>
        <v>5876.3600000000088</v>
      </c>
      <c r="D380" s="37"/>
      <c r="E380" s="131">
        <v>20250813</v>
      </c>
      <c r="F380" s="132"/>
      <c r="G380" s="132" t="s">
        <v>362</v>
      </c>
      <c r="H380" s="132"/>
      <c r="I380" s="132" t="s">
        <v>368</v>
      </c>
      <c r="J380" s="132" t="s">
        <v>364</v>
      </c>
      <c r="K380" s="132">
        <v>-30.25</v>
      </c>
      <c r="L380" s="132" t="s">
        <v>369</v>
      </c>
      <c r="M380" s="132" t="s">
        <v>952</v>
      </c>
      <c r="N380" s="276"/>
    </row>
    <row r="381" spans="1:15" ht="16" x14ac:dyDescent="0.2">
      <c r="A381" s="97" t="s">
        <v>80</v>
      </c>
      <c r="B381" s="41">
        <f t="shared" si="13"/>
        <v>419.57</v>
      </c>
      <c r="C381" s="497">
        <f t="shared" si="14"/>
        <v>6295.9300000000085</v>
      </c>
      <c r="D381" s="37"/>
      <c r="E381" s="131">
        <v>20250814</v>
      </c>
      <c r="F381" s="132"/>
      <c r="G381" s="132" t="s">
        <v>362</v>
      </c>
      <c r="H381" s="132"/>
      <c r="I381" s="132" t="s">
        <v>372</v>
      </c>
      <c r="J381" s="132" t="s">
        <v>373</v>
      </c>
      <c r="K381" s="132">
        <v>419.57</v>
      </c>
      <c r="L381" s="132" t="s">
        <v>374</v>
      </c>
      <c r="M381" s="132" t="s">
        <v>953</v>
      </c>
    </row>
    <row r="382" spans="1:15" ht="16" x14ac:dyDescent="0.2">
      <c r="A382" s="97" t="s">
        <v>80</v>
      </c>
      <c r="B382" s="41">
        <f t="shared" si="13"/>
        <v>477.84</v>
      </c>
      <c r="C382" s="497">
        <f t="shared" si="14"/>
        <v>6773.7700000000086</v>
      </c>
      <c r="D382" s="37"/>
      <c r="E382" s="131">
        <v>20250815</v>
      </c>
      <c r="F382" s="132"/>
      <c r="G382" s="132" t="s">
        <v>362</v>
      </c>
      <c r="H382" s="132"/>
      <c r="I382" s="132" t="s">
        <v>372</v>
      </c>
      <c r="J382" s="132" t="s">
        <v>373</v>
      </c>
      <c r="K382" s="132">
        <v>477.84</v>
      </c>
      <c r="L382" s="132" t="s">
        <v>374</v>
      </c>
      <c r="M382" s="132" t="s">
        <v>954</v>
      </c>
      <c r="N382" s="498"/>
    </row>
    <row r="383" spans="1:15" ht="16" x14ac:dyDescent="0.2">
      <c r="A383" s="97" t="s">
        <v>80</v>
      </c>
      <c r="B383" s="41">
        <f t="shared" si="13"/>
        <v>382</v>
      </c>
      <c r="C383" s="497">
        <f t="shared" si="14"/>
        <v>7155.7700000000086</v>
      </c>
      <c r="D383" s="37"/>
      <c r="E383" s="131">
        <v>20250818</v>
      </c>
      <c r="F383" s="132"/>
      <c r="G383" s="132" t="s">
        <v>362</v>
      </c>
      <c r="H383" s="132"/>
      <c r="I383" s="132" t="s">
        <v>372</v>
      </c>
      <c r="J383" s="132" t="s">
        <v>373</v>
      </c>
      <c r="K383" s="132">
        <v>382</v>
      </c>
      <c r="L383" s="132" t="s">
        <v>374</v>
      </c>
      <c r="M383" s="132" t="s">
        <v>955</v>
      </c>
      <c r="N383" s="498"/>
    </row>
    <row r="384" spans="1:15" ht="16" x14ac:dyDescent="0.2">
      <c r="A384" s="97" t="s">
        <v>80</v>
      </c>
      <c r="B384" s="41">
        <f t="shared" si="13"/>
        <v>292.02</v>
      </c>
      <c r="C384" s="497">
        <f t="shared" si="14"/>
        <v>7447.7900000000081</v>
      </c>
      <c r="D384" s="37"/>
      <c r="E384" s="131">
        <v>20250819</v>
      </c>
      <c r="F384" s="132"/>
      <c r="G384" s="132" t="s">
        <v>362</v>
      </c>
      <c r="H384" s="132"/>
      <c r="I384" s="132" t="s">
        <v>372</v>
      </c>
      <c r="J384" s="132" t="s">
        <v>373</v>
      </c>
      <c r="K384" s="132">
        <v>292.02</v>
      </c>
      <c r="L384" s="132" t="s">
        <v>374</v>
      </c>
      <c r="M384" s="132" t="s">
        <v>956</v>
      </c>
      <c r="N384" s="498"/>
    </row>
    <row r="385" spans="1:15" ht="16" x14ac:dyDescent="0.2">
      <c r="A385" s="97" t="s">
        <v>80</v>
      </c>
      <c r="B385" s="41">
        <f t="shared" si="13"/>
        <v>494.2</v>
      </c>
      <c r="C385" s="497">
        <f t="shared" si="14"/>
        <v>7941.990000000008</v>
      </c>
      <c r="D385" s="37"/>
      <c r="E385" s="131">
        <v>20250820</v>
      </c>
      <c r="F385" s="132"/>
      <c r="G385" s="132" t="s">
        <v>362</v>
      </c>
      <c r="H385" s="132"/>
      <c r="I385" s="132" t="s">
        <v>372</v>
      </c>
      <c r="J385" s="132" t="s">
        <v>373</v>
      </c>
      <c r="K385" s="132">
        <v>494.2</v>
      </c>
      <c r="L385" s="132" t="s">
        <v>374</v>
      </c>
      <c r="M385" s="132" t="s">
        <v>957</v>
      </c>
      <c r="N385" s="498"/>
    </row>
    <row r="386" spans="1:15" ht="16" x14ac:dyDescent="0.2">
      <c r="A386" s="97" t="s">
        <v>80</v>
      </c>
      <c r="B386" s="41">
        <f t="shared" si="13"/>
        <v>292.02</v>
      </c>
      <c r="C386" s="497">
        <f t="shared" si="14"/>
        <v>8234.0100000000075</v>
      </c>
      <c r="D386" s="37"/>
      <c r="E386" s="131">
        <v>20250821</v>
      </c>
      <c r="F386" s="132"/>
      <c r="G386" s="132" t="s">
        <v>362</v>
      </c>
      <c r="H386" s="132"/>
      <c r="I386" s="132" t="s">
        <v>372</v>
      </c>
      <c r="J386" s="132" t="s">
        <v>373</v>
      </c>
      <c r="K386" s="132">
        <v>292.02</v>
      </c>
      <c r="L386" s="132" t="s">
        <v>374</v>
      </c>
      <c r="M386" s="132" t="s">
        <v>958</v>
      </c>
      <c r="N386" s="498"/>
    </row>
    <row r="387" spans="1:15" ht="16" x14ac:dyDescent="0.2">
      <c r="A387" s="97" t="s">
        <v>80</v>
      </c>
      <c r="B387" s="41">
        <f t="shared" si="13"/>
        <v>63.84</v>
      </c>
      <c r="C387" s="497">
        <f t="shared" si="14"/>
        <v>8297.8500000000076</v>
      </c>
      <c r="D387" s="37"/>
      <c r="E387" s="131">
        <v>20250822</v>
      </c>
      <c r="F387" s="132"/>
      <c r="G387" s="132" t="s">
        <v>362</v>
      </c>
      <c r="H387" s="132"/>
      <c r="I387" s="132" t="s">
        <v>372</v>
      </c>
      <c r="J387" s="132" t="s">
        <v>373</v>
      </c>
      <c r="K387" s="132">
        <v>63.84</v>
      </c>
      <c r="L387" s="132" t="s">
        <v>374</v>
      </c>
      <c r="M387" s="132" t="s">
        <v>959</v>
      </c>
      <c r="N387" s="498"/>
    </row>
    <row r="388" spans="1:15" ht="16" x14ac:dyDescent="0.2">
      <c r="A388" s="40" t="s">
        <v>94</v>
      </c>
      <c r="B388" s="41">
        <f t="shared" si="13"/>
        <v>-18.14</v>
      </c>
      <c r="C388" s="497">
        <f t="shared" si="14"/>
        <v>8279.7100000000082</v>
      </c>
      <c r="D388" s="37"/>
      <c r="E388" s="131">
        <v>20250822</v>
      </c>
      <c r="F388" s="132"/>
      <c r="G388" s="132" t="s">
        <v>362</v>
      </c>
      <c r="H388" s="132"/>
      <c r="I388" s="132" t="s">
        <v>368</v>
      </c>
      <c r="J388" s="132" t="s">
        <v>364</v>
      </c>
      <c r="K388" s="132">
        <v>-18.14</v>
      </c>
      <c r="L388" s="132" t="s">
        <v>369</v>
      </c>
      <c r="M388" s="132" t="s">
        <v>960</v>
      </c>
      <c r="N388" s="132"/>
      <c r="O388" t="s">
        <v>411</v>
      </c>
    </row>
    <row r="389" spans="1:15" ht="16" x14ac:dyDescent="0.2">
      <c r="A389" s="97" t="s">
        <v>80</v>
      </c>
      <c r="B389" s="41">
        <f t="shared" si="13"/>
        <v>191.39</v>
      </c>
      <c r="C389" s="497">
        <f t="shared" si="14"/>
        <v>8471.1000000000076</v>
      </c>
      <c r="D389" s="37"/>
      <c r="E389" s="131">
        <v>20250825</v>
      </c>
      <c r="F389" s="132"/>
      <c r="G389" s="132" t="s">
        <v>362</v>
      </c>
      <c r="H389" s="132"/>
      <c r="I389" s="132" t="s">
        <v>372</v>
      </c>
      <c r="J389" s="132" t="s">
        <v>373</v>
      </c>
      <c r="K389" s="132">
        <v>191.39</v>
      </c>
      <c r="L389" s="132" t="s">
        <v>374</v>
      </c>
      <c r="M389" s="132" t="s">
        <v>961</v>
      </c>
    </row>
    <row r="390" spans="1:15" ht="16" x14ac:dyDescent="0.2">
      <c r="A390" s="97" t="s">
        <v>80</v>
      </c>
      <c r="B390" s="41">
        <f t="shared" si="13"/>
        <v>148.44</v>
      </c>
      <c r="C390" s="497">
        <f t="shared" si="14"/>
        <v>8619.5400000000081</v>
      </c>
      <c r="D390" s="37"/>
      <c r="E390" s="131">
        <v>20250826</v>
      </c>
      <c r="F390" s="132"/>
      <c r="G390" s="132" t="s">
        <v>362</v>
      </c>
      <c r="H390" s="132"/>
      <c r="I390" s="132" t="s">
        <v>372</v>
      </c>
      <c r="J390" s="132" t="s">
        <v>373</v>
      </c>
      <c r="K390" s="132">
        <v>148.44</v>
      </c>
      <c r="L390" s="132" t="s">
        <v>374</v>
      </c>
      <c r="M390" s="132" t="s">
        <v>962</v>
      </c>
    </row>
    <row r="391" spans="1:15" ht="16" x14ac:dyDescent="0.2">
      <c r="A391" s="40" t="s">
        <v>100</v>
      </c>
      <c r="B391" s="41">
        <f t="shared" si="13"/>
        <v>-33.39</v>
      </c>
      <c r="C391" s="497">
        <f t="shared" si="14"/>
        <v>8586.1500000000087</v>
      </c>
      <c r="D391" s="37"/>
      <c r="E391" s="131">
        <v>20250826</v>
      </c>
      <c r="F391" s="132"/>
      <c r="G391" s="132" t="s">
        <v>362</v>
      </c>
      <c r="H391" s="133"/>
      <c r="I391" s="132" t="s">
        <v>382</v>
      </c>
      <c r="J391" s="132" t="s">
        <v>364</v>
      </c>
      <c r="K391" s="132">
        <v>-33.39</v>
      </c>
      <c r="L391" s="132" t="s">
        <v>383</v>
      </c>
      <c r="M391" s="132" t="s">
        <v>963</v>
      </c>
      <c r="N391" s="132"/>
    </row>
    <row r="392" spans="1:15" ht="16" x14ac:dyDescent="0.2">
      <c r="A392" s="40" t="s">
        <v>332</v>
      </c>
      <c r="B392" s="41">
        <f t="shared" si="13"/>
        <v>4143.92</v>
      </c>
      <c r="C392" s="497">
        <f t="shared" si="14"/>
        <v>12730.070000000009</v>
      </c>
      <c r="D392" s="37"/>
      <c r="E392" s="131">
        <v>20250827</v>
      </c>
      <c r="F392" s="132"/>
      <c r="G392" s="132" t="s">
        <v>362</v>
      </c>
      <c r="H392" s="132"/>
      <c r="I392" s="132" t="s">
        <v>372</v>
      </c>
      <c r="J392" s="132" t="s">
        <v>373</v>
      </c>
      <c r="K392" s="132">
        <v>4143.92</v>
      </c>
      <c r="L392" s="132" t="s">
        <v>374</v>
      </c>
      <c r="M392" s="132" t="s">
        <v>964</v>
      </c>
      <c r="N392" s="132"/>
    </row>
    <row r="393" spans="1:15" ht="16" x14ac:dyDescent="0.2">
      <c r="A393" s="97" t="s">
        <v>80</v>
      </c>
      <c r="B393" s="41">
        <f t="shared" si="13"/>
        <v>1232.8699999999999</v>
      </c>
      <c r="C393" s="497">
        <f t="shared" si="14"/>
        <v>13962.94000000001</v>
      </c>
      <c r="D393" s="37"/>
      <c r="E393" s="131">
        <v>20250827</v>
      </c>
      <c r="F393" s="132"/>
      <c r="G393" s="132" t="s">
        <v>362</v>
      </c>
      <c r="H393" s="132"/>
      <c r="I393" s="132" t="s">
        <v>372</v>
      </c>
      <c r="J393" s="132" t="s">
        <v>373</v>
      </c>
      <c r="K393" s="132">
        <v>1232.8699999999999</v>
      </c>
      <c r="L393" s="132" t="s">
        <v>374</v>
      </c>
      <c r="M393" s="132" t="s">
        <v>965</v>
      </c>
    </row>
    <row r="394" spans="1:15" ht="16" x14ac:dyDescent="0.2">
      <c r="A394" s="97" t="s">
        <v>80</v>
      </c>
      <c r="B394" s="41">
        <f t="shared" si="13"/>
        <v>392.75</v>
      </c>
      <c r="C394" s="497">
        <f t="shared" si="14"/>
        <v>14355.69000000001</v>
      </c>
      <c r="D394" s="37"/>
      <c r="E394" s="131">
        <v>20250828</v>
      </c>
      <c r="F394" s="132"/>
      <c r="G394" s="132" t="s">
        <v>362</v>
      </c>
      <c r="H394" s="132"/>
      <c r="I394" s="132" t="s">
        <v>372</v>
      </c>
      <c r="J394" s="132" t="s">
        <v>373</v>
      </c>
      <c r="K394" s="132">
        <v>392.75</v>
      </c>
      <c r="L394" s="132" t="s">
        <v>374</v>
      </c>
      <c r="M394" s="132" t="s">
        <v>966</v>
      </c>
      <c r="N394" s="276"/>
    </row>
    <row r="395" spans="1:15" ht="16" x14ac:dyDescent="0.2">
      <c r="A395" s="97" t="s">
        <v>80</v>
      </c>
      <c r="B395" s="41">
        <f t="shared" si="13"/>
        <v>42.56</v>
      </c>
      <c r="C395" s="497">
        <f t="shared" si="14"/>
        <v>14398.250000000009</v>
      </c>
      <c r="D395" s="37"/>
      <c r="E395" s="131">
        <v>20250829</v>
      </c>
      <c r="F395" s="132"/>
      <c r="G395" s="132" t="s">
        <v>362</v>
      </c>
      <c r="H395" s="132"/>
      <c r="I395" s="132" t="s">
        <v>372</v>
      </c>
      <c r="J395" s="132" t="s">
        <v>373</v>
      </c>
      <c r="K395" s="132">
        <v>42.56</v>
      </c>
      <c r="L395" s="132" t="s">
        <v>374</v>
      </c>
      <c r="M395" s="132" t="s">
        <v>967</v>
      </c>
    </row>
    <row r="396" spans="1:15" ht="16" x14ac:dyDescent="0.2">
      <c r="A396" s="40" t="s">
        <v>238</v>
      </c>
      <c r="B396" s="41">
        <f t="shared" si="13"/>
        <v>-400</v>
      </c>
      <c r="C396" s="497">
        <f t="shared" si="14"/>
        <v>13998.250000000009</v>
      </c>
      <c r="D396" s="37"/>
      <c r="E396" s="131">
        <v>20250902</v>
      </c>
      <c r="F396" s="132"/>
      <c r="G396" s="132" t="s">
        <v>362</v>
      </c>
      <c r="H396" s="132"/>
      <c r="I396" s="132" t="s">
        <v>363</v>
      </c>
      <c r="J396" s="132" t="s">
        <v>364</v>
      </c>
      <c r="K396" s="132">
        <v>-400</v>
      </c>
      <c r="L396" s="132" t="s">
        <v>365</v>
      </c>
      <c r="M396" s="132" t="s">
        <v>968</v>
      </c>
      <c r="N396" s="132" t="s">
        <v>969</v>
      </c>
    </row>
    <row r="397" spans="1:15" ht="16" x14ac:dyDescent="0.2">
      <c r="A397" s="40" t="s">
        <v>324</v>
      </c>
      <c r="B397" s="41">
        <f t="shared" si="13"/>
        <v>-1152</v>
      </c>
      <c r="C397" s="497">
        <f t="shared" si="14"/>
        <v>12846.250000000009</v>
      </c>
      <c r="D397" s="37"/>
      <c r="E397" s="131">
        <v>20250902</v>
      </c>
      <c r="F397" s="132"/>
      <c r="G397" s="132" t="s">
        <v>362</v>
      </c>
      <c r="H397" s="132"/>
      <c r="I397" s="132" t="s">
        <v>363</v>
      </c>
      <c r="J397" s="132" t="s">
        <v>364</v>
      </c>
      <c r="K397" s="132">
        <v>-1152</v>
      </c>
      <c r="L397" s="132" t="s">
        <v>365</v>
      </c>
      <c r="M397" s="132" t="s">
        <v>970</v>
      </c>
      <c r="N397" s="132" t="s">
        <v>971</v>
      </c>
    </row>
    <row r="398" spans="1:15" ht="16" x14ac:dyDescent="0.2">
      <c r="A398" s="40" t="s">
        <v>325</v>
      </c>
      <c r="B398" s="41">
        <f t="shared" si="13"/>
        <v>-1337.4</v>
      </c>
      <c r="C398" s="497">
        <f t="shared" si="14"/>
        <v>11508.850000000009</v>
      </c>
      <c r="D398" s="37"/>
      <c r="E398" s="131">
        <v>20250902</v>
      </c>
      <c r="F398" s="132"/>
      <c r="G398" s="132" t="s">
        <v>362</v>
      </c>
      <c r="H398" s="132"/>
      <c r="I398" s="132" t="s">
        <v>363</v>
      </c>
      <c r="J398" s="132" t="s">
        <v>364</v>
      </c>
      <c r="K398" s="132">
        <v>-1337.4</v>
      </c>
      <c r="L398" s="132" t="s">
        <v>365</v>
      </c>
      <c r="M398" s="132" t="s">
        <v>972</v>
      </c>
      <c r="N398" s="132" t="s">
        <v>973</v>
      </c>
    </row>
    <row r="399" spans="1:15" ht="16" x14ac:dyDescent="0.2">
      <c r="A399" s="40" t="s">
        <v>327</v>
      </c>
      <c r="B399" s="41">
        <f t="shared" si="13"/>
        <v>-50</v>
      </c>
      <c r="C399" s="497">
        <f t="shared" si="14"/>
        <v>11458.850000000009</v>
      </c>
      <c r="D399" s="37"/>
      <c r="E399" s="131">
        <v>20250902</v>
      </c>
      <c r="F399" s="132"/>
      <c r="G399" s="132" t="s">
        <v>362</v>
      </c>
      <c r="H399" s="132"/>
      <c r="I399" s="132" t="s">
        <v>363</v>
      </c>
      <c r="J399" s="132" t="s">
        <v>364</v>
      </c>
      <c r="K399" s="132">
        <v>-50</v>
      </c>
      <c r="L399" s="132" t="s">
        <v>365</v>
      </c>
      <c r="M399" s="132" t="s">
        <v>974</v>
      </c>
      <c r="N399" s="132" t="s">
        <v>975</v>
      </c>
    </row>
    <row r="400" spans="1:15" ht="16" x14ac:dyDescent="0.2">
      <c r="A400" s="40" t="s">
        <v>297</v>
      </c>
      <c r="B400" s="41">
        <f t="shared" si="13"/>
        <v>-7070</v>
      </c>
      <c r="C400" s="497">
        <f t="shared" si="14"/>
        <v>4388.8500000000095</v>
      </c>
      <c r="D400" s="37"/>
      <c r="E400" s="131">
        <v>20250904</v>
      </c>
      <c r="F400" s="132"/>
      <c r="G400" s="132" t="s">
        <v>362</v>
      </c>
      <c r="H400" s="132"/>
      <c r="I400" s="132" t="s">
        <v>363</v>
      </c>
      <c r="J400" s="132" t="s">
        <v>364</v>
      </c>
      <c r="K400" s="132">
        <v>-7070</v>
      </c>
      <c r="L400" s="132" t="s">
        <v>365</v>
      </c>
      <c r="M400" s="132" t="s">
        <v>976</v>
      </c>
      <c r="N400" s="132" t="s">
        <v>977</v>
      </c>
    </row>
    <row r="401" spans="1:14" ht="16" x14ac:dyDescent="0.2">
      <c r="A401" s="40" t="s">
        <v>89</v>
      </c>
      <c r="B401" s="41">
        <f t="shared" si="13"/>
        <v>47.5</v>
      </c>
      <c r="C401" s="497">
        <f t="shared" si="14"/>
        <v>4436.3500000000095</v>
      </c>
      <c r="D401" s="37"/>
      <c r="E401" s="131">
        <v>20250908</v>
      </c>
      <c r="F401" s="132"/>
      <c r="G401" s="132" t="s">
        <v>362</v>
      </c>
      <c r="H401" s="132"/>
      <c r="I401" s="132" t="s">
        <v>372</v>
      </c>
      <c r="J401" s="132" t="s">
        <v>373</v>
      </c>
      <c r="K401" s="132">
        <v>47.5</v>
      </c>
      <c r="L401" s="132" t="s">
        <v>374</v>
      </c>
      <c r="M401" s="132" t="s">
        <v>978</v>
      </c>
    </row>
    <row r="402" spans="1:14" ht="16" x14ac:dyDescent="0.2">
      <c r="A402" s="40" t="s">
        <v>296</v>
      </c>
      <c r="B402" s="41">
        <f t="shared" si="13"/>
        <v>-195.57</v>
      </c>
      <c r="C402" s="497">
        <f t="shared" si="14"/>
        <v>4240.7800000000097</v>
      </c>
      <c r="D402" s="37"/>
      <c r="E402" s="131">
        <v>20250909</v>
      </c>
      <c r="F402" s="132"/>
      <c r="G402" s="132" t="s">
        <v>362</v>
      </c>
      <c r="H402" s="132"/>
      <c r="I402" s="132" t="s">
        <v>936</v>
      </c>
      <c r="J402" s="132" t="s">
        <v>364</v>
      </c>
      <c r="K402" s="132">
        <v>-195.57</v>
      </c>
      <c r="L402" s="132" t="s">
        <v>937</v>
      </c>
      <c r="M402" s="132" t="s">
        <v>979</v>
      </c>
      <c r="N402" s="132" t="s">
        <v>980</v>
      </c>
    </row>
    <row r="403" spans="1:14" ht="16" x14ac:dyDescent="0.2">
      <c r="A403" s="40" t="s">
        <v>296</v>
      </c>
      <c r="B403" s="41">
        <f t="shared" si="13"/>
        <v>-114</v>
      </c>
      <c r="C403" s="497">
        <f t="shared" si="14"/>
        <v>4126.7800000000097</v>
      </c>
      <c r="D403" s="37"/>
      <c r="E403" s="131">
        <v>20250909</v>
      </c>
      <c r="F403" s="498"/>
      <c r="G403" s="132" t="s">
        <v>362</v>
      </c>
      <c r="H403" s="132"/>
      <c r="I403" s="132" t="s">
        <v>936</v>
      </c>
      <c r="J403" s="132" t="s">
        <v>364</v>
      </c>
      <c r="K403" s="132">
        <v>-114</v>
      </c>
      <c r="L403" s="132" t="s">
        <v>937</v>
      </c>
      <c r="M403" s="132" t="s">
        <v>981</v>
      </c>
      <c r="N403" s="132" t="s">
        <v>982</v>
      </c>
    </row>
    <row r="404" spans="1:14" ht="16" x14ac:dyDescent="0.2">
      <c r="A404" s="97" t="s">
        <v>80</v>
      </c>
      <c r="B404" s="41">
        <f t="shared" si="13"/>
        <v>11668.85</v>
      </c>
      <c r="C404" s="497">
        <f t="shared" si="14"/>
        <v>15795.63000000001</v>
      </c>
      <c r="D404" s="37"/>
      <c r="E404" s="131">
        <v>20250909</v>
      </c>
      <c r="F404" s="132"/>
      <c r="G404" s="132" t="s">
        <v>362</v>
      </c>
      <c r="H404" s="132"/>
      <c r="I404" s="132" t="s">
        <v>372</v>
      </c>
      <c r="J404" s="132" t="s">
        <v>373</v>
      </c>
      <c r="K404" s="132">
        <v>11668.85</v>
      </c>
      <c r="L404" s="132" t="s">
        <v>374</v>
      </c>
      <c r="M404" s="132" t="s">
        <v>983</v>
      </c>
    </row>
    <row r="405" spans="1:14" ht="16" x14ac:dyDescent="0.2">
      <c r="A405" s="97" t="s">
        <v>80</v>
      </c>
      <c r="B405" s="41">
        <f t="shared" si="13"/>
        <v>7348.2</v>
      </c>
      <c r="C405" s="497">
        <f t="shared" si="14"/>
        <v>23143.830000000009</v>
      </c>
      <c r="D405" s="37"/>
      <c r="E405" s="131">
        <v>20250909</v>
      </c>
      <c r="F405" s="132"/>
      <c r="G405" s="132" t="s">
        <v>362</v>
      </c>
      <c r="H405" s="132"/>
      <c r="I405" s="132" t="s">
        <v>372</v>
      </c>
      <c r="J405" s="132" t="s">
        <v>373</v>
      </c>
      <c r="K405" s="132">
        <v>7348.2</v>
      </c>
      <c r="L405" s="132" t="s">
        <v>374</v>
      </c>
      <c r="M405" s="132" t="s">
        <v>984</v>
      </c>
    </row>
    <row r="406" spans="1:14" ht="16" x14ac:dyDescent="0.2">
      <c r="A406" s="40" t="s">
        <v>88</v>
      </c>
      <c r="B406" s="41">
        <f t="shared" si="13"/>
        <v>-38.520000000000003</v>
      </c>
      <c r="C406" s="497">
        <f t="shared" si="14"/>
        <v>23105.310000000009</v>
      </c>
      <c r="D406" s="37"/>
      <c r="E406" s="131">
        <v>20250910</v>
      </c>
      <c r="F406" s="132"/>
      <c r="G406" s="132" t="s">
        <v>362</v>
      </c>
      <c r="H406" s="132"/>
      <c r="I406" s="132" t="s">
        <v>363</v>
      </c>
      <c r="J406" s="132" t="s">
        <v>364</v>
      </c>
      <c r="K406" s="132">
        <v>-38.520000000000003</v>
      </c>
      <c r="L406" s="132" t="s">
        <v>365</v>
      </c>
      <c r="M406" s="132" t="s">
        <v>985</v>
      </c>
      <c r="N406" s="132" t="s">
        <v>986</v>
      </c>
    </row>
    <row r="407" spans="1:14" ht="16" x14ac:dyDescent="0.2">
      <c r="A407" s="40" t="s">
        <v>327</v>
      </c>
      <c r="B407" s="41">
        <f t="shared" si="13"/>
        <v>-145.19999999999999</v>
      </c>
      <c r="C407" s="497">
        <f t="shared" si="14"/>
        <v>22960.110000000008</v>
      </c>
      <c r="D407" s="37"/>
      <c r="E407" s="131">
        <v>20250910</v>
      </c>
      <c r="F407" s="132"/>
      <c r="G407" s="132" t="s">
        <v>362</v>
      </c>
      <c r="H407" s="132"/>
      <c r="I407" s="132" t="s">
        <v>363</v>
      </c>
      <c r="J407" s="132" t="s">
        <v>364</v>
      </c>
      <c r="K407" s="132">
        <v>-145.19999999999999</v>
      </c>
      <c r="L407" s="132" t="s">
        <v>365</v>
      </c>
      <c r="M407" s="132" t="s">
        <v>987</v>
      </c>
      <c r="N407" s="132" t="s">
        <v>988</v>
      </c>
    </row>
    <row r="408" spans="1:14" ht="16" x14ac:dyDescent="0.2">
      <c r="A408" s="97" t="s">
        <v>80</v>
      </c>
      <c r="B408" s="41">
        <f t="shared" si="13"/>
        <v>1189.27</v>
      </c>
      <c r="C408" s="497">
        <f t="shared" si="14"/>
        <v>24149.380000000008</v>
      </c>
      <c r="D408" s="37"/>
      <c r="E408" s="131">
        <v>20250910</v>
      </c>
      <c r="F408" s="132"/>
      <c r="G408" s="132" t="s">
        <v>362</v>
      </c>
      <c r="H408" s="132"/>
      <c r="I408" s="132" t="s">
        <v>372</v>
      </c>
      <c r="J408" s="132" t="s">
        <v>373</v>
      </c>
      <c r="K408" s="132">
        <v>1189.27</v>
      </c>
      <c r="L408" s="132" t="s">
        <v>374</v>
      </c>
      <c r="M408" s="132" t="s">
        <v>989</v>
      </c>
    </row>
    <row r="409" spans="1:14" ht="16" x14ac:dyDescent="0.2">
      <c r="A409" s="97" t="s">
        <v>80</v>
      </c>
      <c r="B409" s="41">
        <f t="shared" si="13"/>
        <v>576.66999999999996</v>
      </c>
      <c r="C409" s="497">
        <f t="shared" si="14"/>
        <v>24726.050000000007</v>
      </c>
      <c r="D409" s="37"/>
      <c r="E409" s="131">
        <v>20250911</v>
      </c>
      <c r="F409" s="132"/>
      <c r="G409" s="132" t="s">
        <v>362</v>
      </c>
      <c r="H409" s="132"/>
      <c r="I409" s="132" t="s">
        <v>372</v>
      </c>
      <c r="J409" s="132" t="s">
        <v>373</v>
      </c>
      <c r="K409" s="132">
        <v>576.66999999999996</v>
      </c>
      <c r="L409" s="132" t="s">
        <v>374</v>
      </c>
      <c r="M409" s="132" t="s">
        <v>990</v>
      </c>
    </row>
    <row r="410" spans="1:14" ht="16" x14ac:dyDescent="0.2">
      <c r="A410" s="97" t="s">
        <v>80</v>
      </c>
      <c r="B410" s="41">
        <f t="shared" ref="B410:B469" si="15">K410</f>
        <v>353</v>
      </c>
      <c r="C410" s="497">
        <f t="shared" ref="C410:C471" si="16">C409+B410</f>
        <v>25079.050000000007</v>
      </c>
      <c r="D410" s="37"/>
      <c r="E410" s="131">
        <v>20250912</v>
      </c>
      <c r="F410" s="132"/>
      <c r="G410" s="132" t="s">
        <v>362</v>
      </c>
      <c r="H410" s="132"/>
      <c r="I410" s="132" t="s">
        <v>372</v>
      </c>
      <c r="J410" s="132" t="s">
        <v>373</v>
      </c>
      <c r="K410" s="132">
        <v>353</v>
      </c>
      <c r="L410" s="132" t="s">
        <v>374</v>
      </c>
      <c r="M410" s="132" t="s">
        <v>991</v>
      </c>
    </row>
    <row r="411" spans="1:14" ht="16" x14ac:dyDescent="0.2">
      <c r="A411" s="40" t="s">
        <v>296</v>
      </c>
      <c r="B411" s="41">
        <f t="shared" si="15"/>
        <v>-38</v>
      </c>
      <c r="C411" s="497">
        <f t="shared" si="16"/>
        <v>25041.050000000007</v>
      </c>
      <c r="D411" s="37"/>
      <c r="E411" s="131">
        <v>20250915</v>
      </c>
      <c r="F411" s="498"/>
      <c r="G411" s="132" t="s">
        <v>362</v>
      </c>
      <c r="H411" s="132"/>
      <c r="I411" s="132" t="s">
        <v>936</v>
      </c>
      <c r="J411" s="132" t="s">
        <v>364</v>
      </c>
      <c r="K411" s="132">
        <v>-38</v>
      </c>
      <c r="L411" s="132" t="s">
        <v>937</v>
      </c>
      <c r="M411" s="132" t="s">
        <v>992</v>
      </c>
      <c r="N411" s="132" t="s">
        <v>993</v>
      </c>
    </row>
    <row r="412" spans="1:14" ht="16" x14ac:dyDescent="0.2">
      <c r="A412" s="97" t="s">
        <v>80</v>
      </c>
      <c r="B412" s="41">
        <f t="shared" si="15"/>
        <v>160.62</v>
      </c>
      <c r="C412" s="497">
        <f t="shared" si="16"/>
        <v>25201.670000000006</v>
      </c>
      <c r="D412" s="37"/>
      <c r="E412" s="131">
        <v>20250915</v>
      </c>
      <c r="F412" s="132"/>
      <c r="G412" s="132" t="s">
        <v>362</v>
      </c>
      <c r="H412" s="132"/>
      <c r="I412" s="132" t="s">
        <v>372</v>
      </c>
      <c r="J412" s="132" t="s">
        <v>373</v>
      </c>
      <c r="K412" s="132">
        <v>160.62</v>
      </c>
      <c r="L412" s="132" t="s">
        <v>374</v>
      </c>
      <c r="M412" s="132" t="s">
        <v>994</v>
      </c>
    </row>
    <row r="413" spans="1:14" ht="16" x14ac:dyDescent="0.2">
      <c r="A413" s="40" t="s">
        <v>103</v>
      </c>
      <c r="B413" s="41">
        <f t="shared" si="15"/>
        <v>-30.25</v>
      </c>
      <c r="C413" s="497">
        <f t="shared" si="16"/>
        <v>25171.420000000006</v>
      </c>
      <c r="D413" s="37"/>
      <c r="E413" s="131">
        <v>20250915</v>
      </c>
      <c r="F413" s="132"/>
      <c r="G413" s="132" t="s">
        <v>362</v>
      </c>
      <c r="H413" s="132"/>
      <c r="I413" s="132" t="s">
        <v>368</v>
      </c>
      <c r="J413" s="132" t="s">
        <v>364</v>
      </c>
      <c r="K413" s="132">
        <v>-30.25</v>
      </c>
      <c r="L413" s="132" t="s">
        <v>369</v>
      </c>
      <c r="M413" s="132" t="s">
        <v>995</v>
      </c>
      <c r="N413" s="132"/>
    </row>
    <row r="414" spans="1:14" ht="16" x14ac:dyDescent="0.2">
      <c r="A414" s="97" t="s">
        <v>80</v>
      </c>
      <c r="B414" s="41">
        <f t="shared" si="15"/>
        <v>108.07</v>
      </c>
      <c r="C414" s="497">
        <f t="shared" si="16"/>
        <v>25279.490000000005</v>
      </c>
      <c r="D414" s="37"/>
      <c r="E414" s="131">
        <v>20250916</v>
      </c>
      <c r="F414" s="132"/>
      <c r="G414" s="132" t="s">
        <v>362</v>
      </c>
      <c r="H414" s="132"/>
      <c r="I414" s="132" t="s">
        <v>372</v>
      </c>
      <c r="J414" s="132" t="s">
        <v>373</v>
      </c>
      <c r="K414" s="132">
        <v>108.07</v>
      </c>
      <c r="L414" s="132" t="s">
        <v>374</v>
      </c>
      <c r="M414" s="132" t="s">
        <v>996</v>
      </c>
    </row>
    <row r="415" spans="1:14" ht="16" x14ac:dyDescent="0.2">
      <c r="A415" s="40" t="s">
        <v>88</v>
      </c>
      <c r="B415" s="41">
        <f t="shared" si="15"/>
        <v>-33</v>
      </c>
      <c r="C415" s="497">
        <f t="shared" si="16"/>
        <v>25246.490000000005</v>
      </c>
      <c r="D415" s="37"/>
      <c r="E415" s="131">
        <v>20250916</v>
      </c>
      <c r="F415" s="132"/>
      <c r="G415" s="132" t="s">
        <v>362</v>
      </c>
      <c r="H415" s="132"/>
      <c r="I415" s="132" t="s">
        <v>363</v>
      </c>
      <c r="J415" s="132" t="s">
        <v>364</v>
      </c>
      <c r="K415" s="132">
        <v>-33</v>
      </c>
      <c r="L415" s="132" t="s">
        <v>365</v>
      </c>
      <c r="M415" s="132" t="s">
        <v>997</v>
      </c>
      <c r="N415" s="132" t="s">
        <v>998</v>
      </c>
    </row>
    <row r="416" spans="1:14" ht="16" x14ac:dyDescent="0.2">
      <c r="A416" s="40" t="s">
        <v>294</v>
      </c>
      <c r="B416" s="41">
        <f t="shared" si="15"/>
        <v>-25.01</v>
      </c>
      <c r="C416" s="497">
        <f t="shared" si="16"/>
        <v>25221.480000000007</v>
      </c>
      <c r="D416" s="37"/>
      <c r="E416" s="131">
        <v>20250916</v>
      </c>
      <c r="F416" s="132"/>
      <c r="G416" s="132" t="s">
        <v>362</v>
      </c>
      <c r="H416" s="132"/>
      <c r="I416" s="132" t="s">
        <v>363</v>
      </c>
      <c r="J416" s="132" t="s">
        <v>364</v>
      </c>
      <c r="K416" s="132">
        <v>-25.01</v>
      </c>
      <c r="L416" s="132" t="s">
        <v>365</v>
      </c>
      <c r="M416" s="132" t="s">
        <v>999</v>
      </c>
      <c r="N416" s="132" t="s">
        <v>1000</v>
      </c>
    </row>
    <row r="417" spans="1:15" ht="16" x14ac:dyDescent="0.2">
      <c r="A417" s="40" t="s">
        <v>294</v>
      </c>
      <c r="B417" s="41">
        <f t="shared" si="15"/>
        <v>-60.66</v>
      </c>
      <c r="C417" s="497">
        <f t="shared" si="16"/>
        <v>25160.820000000007</v>
      </c>
      <c r="D417" s="37"/>
      <c r="E417" s="131">
        <v>20250916</v>
      </c>
      <c r="F417" s="132"/>
      <c r="G417" s="132" t="s">
        <v>362</v>
      </c>
      <c r="H417" s="132"/>
      <c r="I417" s="132" t="s">
        <v>363</v>
      </c>
      <c r="J417" s="132" t="s">
        <v>364</v>
      </c>
      <c r="K417" s="132">
        <v>-60.66</v>
      </c>
      <c r="L417" s="132" t="s">
        <v>365</v>
      </c>
      <c r="M417" s="132" t="s">
        <v>1001</v>
      </c>
      <c r="N417" s="132" t="s">
        <v>1002</v>
      </c>
    </row>
    <row r="418" spans="1:15" ht="16" x14ac:dyDescent="0.2">
      <c r="A418" s="40" t="s">
        <v>144</v>
      </c>
      <c r="B418" s="41">
        <f t="shared" si="15"/>
        <v>-20.94</v>
      </c>
      <c r="C418" s="497">
        <f t="shared" si="16"/>
        <v>25139.880000000008</v>
      </c>
      <c r="D418" s="37"/>
      <c r="E418" s="131">
        <v>20250916</v>
      </c>
      <c r="F418" s="132"/>
      <c r="G418" s="132" t="s">
        <v>362</v>
      </c>
      <c r="H418" s="132"/>
      <c r="I418" s="132" t="s">
        <v>363</v>
      </c>
      <c r="J418" s="132" t="s">
        <v>364</v>
      </c>
      <c r="K418" s="132">
        <v>-20.94</v>
      </c>
      <c r="L418" s="132" t="s">
        <v>365</v>
      </c>
      <c r="M418" s="132" t="s">
        <v>1003</v>
      </c>
      <c r="N418" s="132" t="s">
        <v>1004</v>
      </c>
    </row>
    <row r="419" spans="1:15" ht="16" x14ac:dyDescent="0.2">
      <c r="A419" s="40" t="s">
        <v>330</v>
      </c>
      <c r="B419" s="41">
        <f t="shared" si="15"/>
        <v>-689.61</v>
      </c>
      <c r="C419" s="497">
        <f t="shared" si="16"/>
        <v>24450.270000000008</v>
      </c>
      <c r="D419" s="37"/>
      <c r="E419" s="131">
        <v>20250916</v>
      </c>
      <c r="F419" s="132"/>
      <c r="G419" s="132" t="s">
        <v>362</v>
      </c>
      <c r="H419" s="132"/>
      <c r="I419" s="132" t="s">
        <v>363</v>
      </c>
      <c r="J419" s="132" t="s">
        <v>364</v>
      </c>
      <c r="K419" s="132">
        <v>-689.61</v>
      </c>
      <c r="L419" s="132" t="s">
        <v>365</v>
      </c>
      <c r="M419" s="132" t="s">
        <v>1005</v>
      </c>
      <c r="N419" s="132" t="s">
        <v>1006</v>
      </c>
    </row>
    <row r="420" spans="1:15" ht="16" x14ac:dyDescent="0.2">
      <c r="A420" s="40" t="s">
        <v>328</v>
      </c>
      <c r="B420" s="41">
        <f t="shared" si="15"/>
        <v>-2061.84</v>
      </c>
      <c r="C420" s="497">
        <f t="shared" si="16"/>
        <v>22388.430000000008</v>
      </c>
      <c r="D420" s="37"/>
      <c r="E420" s="131">
        <v>20250916</v>
      </c>
      <c r="F420" s="132"/>
      <c r="G420" s="132" t="s">
        <v>362</v>
      </c>
      <c r="H420" s="132"/>
      <c r="I420" s="132" t="s">
        <v>363</v>
      </c>
      <c r="J420" s="132" t="s">
        <v>364</v>
      </c>
      <c r="K420" s="132">
        <v>-2061.84</v>
      </c>
      <c r="L420" s="132" t="s">
        <v>365</v>
      </c>
      <c r="M420" s="132" t="s">
        <v>1007</v>
      </c>
      <c r="N420" s="132" t="s">
        <v>1008</v>
      </c>
    </row>
    <row r="421" spans="1:15" ht="16" x14ac:dyDescent="0.2">
      <c r="A421" s="97" t="s">
        <v>80</v>
      </c>
      <c r="B421" s="41">
        <f t="shared" si="15"/>
        <v>71.08</v>
      </c>
      <c r="C421" s="497">
        <f t="shared" si="16"/>
        <v>22459.510000000009</v>
      </c>
      <c r="D421" s="37"/>
      <c r="E421" s="131">
        <v>20250917</v>
      </c>
      <c r="F421" s="132"/>
      <c r="G421" s="132" t="s">
        <v>362</v>
      </c>
      <c r="H421" s="132"/>
      <c r="I421" s="132" t="s">
        <v>372</v>
      </c>
      <c r="J421" s="132" t="s">
        <v>373</v>
      </c>
      <c r="K421" s="132">
        <v>71.08</v>
      </c>
      <c r="L421" s="132" t="s">
        <v>374</v>
      </c>
      <c r="M421" s="132" t="s">
        <v>1009</v>
      </c>
    </row>
    <row r="422" spans="1:15" ht="16" x14ac:dyDescent="0.2">
      <c r="A422" s="97" t="s">
        <v>80</v>
      </c>
      <c r="B422" s="41">
        <f t="shared" si="15"/>
        <v>358.74</v>
      </c>
      <c r="C422" s="497">
        <f t="shared" si="16"/>
        <v>22818.250000000011</v>
      </c>
      <c r="D422" s="37"/>
      <c r="E422" s="131">
        <v>20250918</v>
      </c>
      <c r="F422" s="132"/>
      <c r="G422" s="132" t="s">
        <v>362</v>
      </c>
      <c r="H422" s="132"/>
      <c r="I422" s="132" t="s">
        <v>372</v>
      </c>
      <c r="J422" s="132" t="s">
        <v>373</v>
      </c>
      <c r="K422" s="132">
        <v>358.74</v>
      </c>
      <c r="L422" s="132" t="s">
        <v>374</v>
      </c>
      <c r="M422" s="132" t="s">
        <v>1010</v>
      </c>
    </row>
    <row r="423" spans="1:15" ht="16" x14ac:dyDescent="0.2">
      <c r="A423" s="40" t="s">
        <v>300</v>
      </c>
      <c r="B423" s="41">
        <f t="shared" si="15"/>
        <v>-2446.3200000000002</v>
      </c>
      <c r="C423" s="497">
        <f t="shared" si="16"/>
        <v>20371.930000000011</v>
      </c>
      <c r="D423" s="37"/>
      <c r="E423" s="131">
        <v>20250919</v>
      </c>
      <c r="F423" s="498"/>
      <c r="G423" s="132" t="s">
        <v>362</v>
      </c>
      <c r="H423" s="132"/>
      <c r="I423" s="132" t="s">
        <v>936</v>
      </c>
      <c r="J423" s="132" t="s">
        <v>364</v>
      </c>
      <c r="K423" s="132">
        <v>-2446.3200000000002</v>
      </c>
      <c r="L423" s="132" t="s">
        <v>937</v>
      </c>
      <c r="M423" s="498" t="s">
        <v>1011</v>
      </c>
      <c r="N423" s="132" t="s">
        <v>1012</v>
      </c>
    </row>
    <row r="424" spans="1:15" ht="16" x14ac:dyDescent="0.2">
      <c r="A424" s="97" t="s">
        <v>80</v>
      </c>
      <c r="B424" s="41">
        <f t="shared" si="15"/>
        <v>27.1</v>
      </c>
      <c r="C424" s="497">
        <f t="shared" si="16"/>
        <v>20399.03000000001</v>
      </c>
      <c r="D424" s="37"/>
      <c r="E424" s="131">
        <v>20250919</v>
      </c>
      <c r="F424" s="132"/>
      <c r="G424" s="132" t="s">
        <v>362</v>
      </c>
      <c r="H424" s="132"/>
      <c r="I424" s="132" t="s">
        <v>372</v>
      </c>
      <c r="J424" s="132" t="s">
        <v>373</v>
      </c>
      <c r="K424" s="132">
        <v>27.1</v>
      </c>
      <c r="L424" s="132" t="s">
        <v>374</v>
      </c>
      <c r="M424" s="132" t="s">
        <v>1013</v>
      </c>
    </row>
    <row r="425" spans="1:15" ht="16" x14ac:dyDescent="0.2">
      <c r="A425" s="40" t="s">
        <v>295</v>
      </c>
      <c r="B425" s="41">
        <f t="shared" si="15"/>
        <v>357.81</v>
      </c>
      <c r="C425" s="497">
        <f t="shared" si="16"/>
        <v>20756.840000000011</v>
      </c>
      <c r="D425" s="37"/>
      <c r="E425" s="131">
        <v>20250922</v>
      </c>
      <c r="F425" s="132"/>
      <c r="G425" s="132" t="s">
        <v>362</v>
      </c>
      <c r="H425" s="132"/>
      <c r="I425" s="132" t="s">
        <v>372</v>
      </c>
      <c r="J425" s="132" t="s">
        <v>373</v>
      </c>
      <c r="K425" s="132">
        <v>357.81</v>
      </c>
      <c r="L425" s="132" t="s">
        <v>374</v>
      </c>
      <c r="M425" s="132" t="s">
        <v>1014</v>
      </c>
      <c r="N425" s="132"/>
    </row>
    <row r="426" spans="1:15" ht="16" x14ac:dyDescent="0.2">
      <c r="A426" s="97" t="s">
        <v>80</v>
      </c>
      <c r="B426" s="41">
        <f t="shared" si="15"/>
        <v>510.61</v>
      </c>
      <c r="C426" s="497">
        <f t="shared" si="16"/>
        <v>21267.450000000012</v>
      </c>
      <c r="D426" s="37"/>
      <c r="E426" s="131">
        <v>20250922</v>
      </c>
      <c r="F426" s="132"/>
      <c r="G426" s="132" t="s">
        <v>362</v>
      </c>
      <c r="H426" s="132"/>
      <c r="I426" s="132" t="s">
        <v>372</v>
      </c>
      <c r="J426" s="132" t="s">
        <v>373</v>
      </c>
      <c r="K426" s="132">
        <v>510.61</v>
      </c>
      <c r="L426" s="132" t="s">
        <v>374</v>
      </c>
      <c r="M426" s="132" t="s">
        <v>1015</v>
      </c>
    </row>
    <row r="427" spans="1:15" ht="16" x14ac:dyDescent="0.2">
      <c r="A427" s="40" t="s">
        <v>94</v>
      </c>
      <c r="B427" s="41">
        <f t="shared" si="15"/>
        <v>-18.14</v>
      </c>
      <c r="C427" s="497">
        <f t="shared" si="16"/>
        <v>21249.310000000012</v>
      </c>
      <c r="D427" s="37"/>
      <c r="E427" s="131">
        <v>20250922</v>
      </c>
      <c r="F427" s="132"/>
      <c r="G427" s="132" t="s">
        <v>362</v>
      </c>
      <c r="H427" s="132"/>
      <c r="I427" s="132" t="s">
        <v>368</v>
      </c>
      <c r="J427" s="132" t="s">
        <v>364</v>
      </c>
      <c r="K427" s="132">
        <v>-18.14</v>
      </c>
      <c r="L427" s="132" t="s">
        <v>369</v>
      </c>
      <c r="M427" s="132" t="s">
        <v>1016</v>
      </c>
      <c r="N427" s="132"/>
      <c r="O427" t="s">
        <v>411</v>
      </c>
    </row>
    <row r="428" spans="1:15" ht="16" x14ac:dyDescent="0.2">
      <c r="A428" s="97" t="s">
        <v>80</v>
      </c>
      <c r="B428" s="41">
        <f t="shared" si="15"/>
        <v>781.2</v>
      </c>
      <c r="C428" s="497">
        <f t="shared" si="16"/>
        <v>22030.510000000013</v>
      </c>
      <c r="D428" s="37"/>
      <c r="E428" s="131">
        <v>20250923</v>
      </c>
      <c r="F428" s="132"/>
      <c r="G428" s="132" t="s">
        <v>362</v>
      </c>
      <c r="H428" s="132"/>
      <c r="I428" s="132" t="s">
        <v>372</v>
      </c>
      <c r="J428" s="132" t="s">
        <v>373</v>
      </c>
      <c r="K428" s="132">
        <v>781.2</v>
      </c>
      <c r="L428" s="132" t="s">
        <v>374</v>
      </c>
      <c r="M428" s="132" t="s">
        <v>1017</v>
      </c>
    </row>
    <row r="429" spans="1:15" ht="16" x14ac:dyDescent="0.2">
      <c r="A429" s="97" t="s">
        <v>80</v>
      </c>
      <c r="B429" s="41">
        <f t="shared" si="15"/>
        <v>1354.42</v>
      </c>
      <c r="C429" s="497">
        <f t="shared" si="16"/>
        <v>23384.930000000015</v>
      </c>
      <c r="D429" s="37"/>
      <c r="E429" s="131">
        <v>20250924</v>
      </c>
      <c r="F429" s="132"/>
      <c r="G429" s="132" t="s">
        <v>362</v>
      </c>
      <c r="H429" s="132"/>
      <c r="I429" s="132" t="s">
        <v>372</v>
      </c>
      <c r="J429" s="132" t="s">
        <v>373</v>
      </c>
      <c r="K429" s="132">
        <v>1354.42</v>
      </c>
      <c r="L429" s="132" t="s">
        <v>374</v>
      </c>
      <c r="M429" s="132" t="s">
        <v>1018</v>
      </c>
    </row>
    <row r="430" spans="1:15" ht="16" x14ac:dyDescent="0.2">
      <c r="A430" s="40" t="s">
        <v>137</v>
      </c>
      <c r="B430" s="41">
        <f t="shared" si="15"/>
        <v>-769.25</v>
      </c>
      <c r="C430" s="497">
        <f t="shared" si="16"/>
        <v>22615.680000000015</v>
      </c>
      <c r="D430" s="37"/>
      <c r="E430" s="131">
        <v>20250924</v>
      </c>
      <c r="F430" s="132"/>
      <c r="G430" s="132" t="s">
        <v>362</v>
      </c>
      <c r="H430" s="132"/>
      <c r="I430" s="132" t="s">
        <v>363</v>
      </c>
      <c r="J430" s="132" t="s">
        <v>364</v>
      </c>
      <c r="K430" s="132">
        <v>-769.25</v>
      </c>
      <c r="L430" s="132" t="s">
        <v>365</v>
      </c>
      <c r="M430" s="132" t="s">
        <v>1019</v>
      </c>
      <c r="N430" s="132" t="s">
        <v>1020</v>
      </c>
    </row>
    <row r="431" spans="1:15" ht="16" x14ac:dyDescent="0.2">
      <c r="A431" s="40" t="s">
        <v>140</v>
      </c>
      <c r="B431" s="41">
        <f t="shared" si="15"/>
        <v>-859.5</v>
      </c>
      <c r="C431" s="497">
        <f t="shared" si="16"/>
        <v>21756.180000000015</v>
      </c>
      <c r="D431" s="37"/>
      <c r="E431" s="131">
        <v>20250924</v>
      </c>
      <c r="F431" s="132"/>
      <c r="G431" s="132" t="s">
        <v>362</v>
      </c>
      <c r="H431" s="132"/>
      <c r="I431" s="132" t="s">
        <v>363</v>
      </c>
      <c r="J431" s="132" t="s">
        <v>364</v>
      </c>
      <c r="K431" s="132">
        <v>-859.5</v>
      </c>
      <c r="L431" s="132" t="s">
        <v>365</v>
      </c>
      <c r="M431" s="132" t="s">
        <v>1021</v>
      </c>
      <c r="N431" s="132" t="s">
        <v>1022</v>
      </c>
    </row>
    <row r="432" spans="1:15" ht="16" x14ac:dyDescent="0.2">
      <c r="A432" s="40" t="s">
        <v>300</v>
      </c>
      <c r="B432" s="41">
        <f t="shared" si="15"/>
        <v>-810.5</v>
      </c>
      <c r="C432" s="497">
        <f t="shared" si="16"/>
        <v>20945.680000000015</v>
      </c>
      <c r="D432" s="37"/>
      <c r="E432" s="131">
        <v>20250924</v>
      </c>
      <c r="F432" s="132"/>
      <c r="G432" s="132" t="s">
        <v>362</v>
      </c>
      <c r="H432" s="132"/>
      <c r="I432" s="132" t="s">
        <v>363</v>
      </c>
      <c r="J432" s="132" t="s">
        <v>364</v>
      </c>
      <c r="K432" s="132">
        <v>-810.5</v>
      </c>
      <c r="L432" s="132" t="s">
        <v>365</v>
      </c>
      <c r="M432" s="132" t="s">
        <v>1023</v>
      </c>
      <c r="N432" s="132" t="s">
        <v>1024</v>
      </c>
    </row>
    <row r="433" spans="1:14" ht="16" x14ac:dyDescent="0.2">
      <c r="A433" s="40" t="s">
        <v>89</v>
      </c>
      <c r="B433" s="41">
        <f t="shared" si="15"/>
        <v>50.07</v>
      </c>
      <c r="C433" s="497">
        <f t="shared" si="16"/>
        <v>20995.750000000015</v>
      </c>
      <c r="D433" s="37"/>
      <c r="E433" s="131">
        <v>20250924</v>
      </c>
      <c r="F433" s="132"/>
      <c r="G433" s="132" t="s">
        <v>362</v>
      </c>
      <c r="H433" s="132"/>
      <c r="I433" s="132" t="s">
        <v>372</v>
      </c>
      <c r="J433" s="132" t="s">
        <v>373</v>
      </c>
      <c r="K433" s="132">
        <v>50.07</v>
      </c>
      <c r="L433" s="132" t="s">
        <v>374</v>
      </c>
      <c r="M433" s="132" t="s">
        <v>1025</v>
      </c>
      <c r="N433" s="132"/>
    </row>
    <row r="434" spans="1:14" ht="16" x14ac:dyDescent="0.2">
      <c r="A434" s="97" t="s">
        <v>80</v>
      </c>
      <c r="B434" s="41">
        <f t="shared" si="15"/>
        <v>117.41</v>
      </c>
      <c r="C434" s="497">
        <f t="shared" si="16"/>
        <v>21113.160000000014</v>
      </c>
      <c r="D434" s="37"/>
      <c r="E434" s="131">
        <v>20250926</v>
      </c>
      <c r="F434" s="132"/>
      <c r="G434" s="132" t="s">
        <v>362</v>
      </c>
      <c r="H434" s="132"/>
      <c r="I434" s="132" t="s">
        <v>372</v>
      </c>
      <c r="J434" s="132" t="s">
        <v>373</v>
      </c>
      <c r="K434" s="132">
        <v>117.41</v>
      </c>
      <c r="L434" s="132" t="s">
        <v>374</v>
      </c>
      <c r="M434" s="132" t="s">
        <v>1026</v>
      </c>
    </row>
    <row r="435" spans="1:14" ht="16" x14ac:dyDescent="0.2">
      <c r="A435" s="40" t="s">
        <v>100</v>
      </c>
      <c r="B435" s="41">
        <f t="shared" si="15"/>
        <v>-36.21</v>
      </c>
      <c r="C435" s="497">
        <f t="shared" si="16"/>
        <v>21076.950000000015</v>
      </c>
      <c r="D435" s="37"/>
      <c r="E435" s="131">
        <v>20250926</v>
      </c>
      <c r="F435" s="132"/>
      <c r="G435" s="132" t="s">
        <v>362</v>
      </c>
      <c r="H435" s="133"/>
      <c r="I435" s="132" t="s">
        <v>382</v>
      </c>
      <c r="J435" s="132" t="s">
        <v>364</v>
      </c>
      <c r="K435" s="132">
        <v>-36.21</v>
      </c>
      <c r="L435" s="132" t="s">
        <v>383</v>
      </c>
      <c r="M435" s="132" t="s">
        <v>1027</v>
      </c>
      <c r="N435" s="132"/>
    </row>
    <row r="436" spans="1:14" ht="16" x14ac:dyDescent="0.2">
      <c r="A436" s="40" t="s">
        <v>146</v>
      </c>
      <c r="B436" s="41">
        <f t="shared" si="15"/>
        <v>494.69</v>
      </c>
      <c r="C436" s="497">
        <f t="shared" si="16"/>
        <v>21571.640000000014</v>
      </c>
      <c r="D436" s="37"/>
      <c r="E436" s="131">
        <v>20250929</v>
      </c>
      <c r="F436" s="132"/>
      <c r="G436" s="132" t="s">
        <v>362</v>
      </c>
      <c r="H436" s="132"/>
      <c r="I436" s="132" t="s">
        <v>372</v>
      </c>
      <c r="J436" s="132" t="s">
        <v>373</v>
      </c>
      <c r="K436" s="132">
        <v>494.69</v>
      </c>
      <c r="L436" s="132" t="s">
        <v>374</v>
      </c>
      <c r="M436" s="132" t="s">
        <v>1028</v>
      </c>
      <c r="N436" s="132"/>
    </row>
    <row r="437" spans="1:14" ht="16" x14ac:dyDescent="0.2">
      <c r="A437" s="40" t="s">
        <v>145</v>
      </c>
      <c r="B437" s="41">
        <f t="shared" si="15"/>
        <v>-1053.0999999999999</v>
      </c>
      <c r="C437" s="497">
        <f t="shared" si="16"/>
        <v>20518.540000000015</v>
      </c>
      <c r="D437" s="37"/>
      <c r="E437" s="131">
        <v>20250929</v>
      </c>
      <c r="F437" s="132"/>
      <c r="G437" s="132" t="s">
        <v>362</v>
      </c>
      <c r="H437" s="132"/>
      <c r="I437" s="132" t="s">
        <v>363</v>
      </c>
      <c r="J437" s="132" t="s">
        <v>364</v>
      </c>
      <c r="K437" s="132">
        <v>-1053.0999999999999</v>
      </c>
      <c r="L437" s="132" t="s">
        <v>365</v>
      </c>
      <c r="M437" s="132" t="s">
        <v>1029</v>
      </c>
      <c r="N437" s="132" t="s">
        <v>1030</v>
      </c>
    </row>
    <row r="438" spans="1:14" ht="16" x14ac:dyDescent="0.2">
      <c r="A438" s="40" t="s">
        <v>300</v>
      </c>
      <c r="B438" s="41">
        <f t="shared" si="15"/>
        <v>-119.34</v>
      </c>
      <c r="C438" s="497">
        <f t="shared" si="16"/>
        <v>20399.200000000015</v>
      </c>
      <c r="D438" s="37"/>
      <c r="E438" s="131">
        <v>20250929</v>
      </c>
      <c r="F438" s="132"/>
      <c r="G438" s="132" t="s">
        <v>362</v>
      </c>
      <c r="H438" s="132"/>
      <c r="I438" s="132" t="s">
        <v>363</v>
      </c>
      <c r="J438" s="132" t="s">
        <v>364</v>
      </c>
      <c r="K438" s="132">
        <v>-119.34</v>
      </c>
      <c r="L438" s="132" t="s">
        <v>365</v>
      </c>
      <c r="M438" s="132" t="s">
        <v>1031</v>
      </c>
      <c r="N438" s="132" t="s">
        <v>1032</v>
      </c>
    </row>
    <row r="439" spans="1:14" ht="16" x14ac:dyDescent="0.2">
      <c r="A439" s="40" t="s">
        <v>131</v>
      </c>
      <c r="B439" s="41">
        <f t="shared" si="15"/>
        <v>-42.77</v>
      </c>
      <c r="C439" s="497">
        <f t="shared" si="16"/>
        <v>20356.430000000015</v>
      </c>
      <c r="D439" s="37"/>
      <c r="E439" s="131">
        <v>20250929</v>
      </c>
      <c r="F439" s="132"/>
      <c r="G439" s="132" t="s">
        <v>362</v>
      </c>
      <c r="H439" s="132"/>
      <c r="I439" s="132" t="s">
        <v>363</v>
      </c>
      <c r="J439" s="132" t="s">
        <v>364</v>
      </c>
      <c r="K439" s="132">
        <v>-42.77</v>
      </c>
      <c r="L439" s="132" t="s">
        <v>365</v>
      </c>
      <c r="M439" s="132" t="s">
        <v>1033</v>
      </c>
      <c r="N439" s="132" t="s">
        <v>1034</v>
      </c>
    </row>
    <row r="440" spans="1:14" ht="16" x14ac:dyDescent="0.2">
      <c r="A440" s="40" t="s">
        <v>299</v>
      </c>
      <c r="B440" s="41">
        <f t="shared" si="15"/>
        <v>-69.239999999999995</v>
      </c>
      <c r="C440" s="497">
        <f t="shared" si="16"/>
        <v>20287.190000000013</v>
      </c>
      <c r="D440" s="37"/>
      <c r="E440" s="131">
        <v>20250929</v>
      </c>
      <c r="F440" s="132"/>
      <c r="G440" s="132" t="s">
        <v>362</v>
      </c>
      <c r="H440" s="132"/>
      <c r="I440" s="132" t="s">
        <v>363</v>
      </c>
      <c r="J440" s="132" t="s">
        <v>364</v>
      </c>
      <c r="K440" s="132">
        <v>-69.239999999999995</v>
      </c>
      <c r="L440" s="132" t="s">
        <v>365</v>
      </c>
      <c r="M440" s="132" t="s">
        <v>1035</v>
      </c>
      <c r="N440" s="132" t="s">
        <v>1036</v>
      </c>
    </row>
    <row r="441" spans="1:14" ht="16" x14ac:dyDescent="0.2">
      <c r="A441" s="40" t="s">
        <v>281</v>
      </c>
      <c r="B441" s="41">
        <f t="shared" si="15"/>
        <v>-105.51</v>
      </c>
      <c r="C441" s="497">
        <f t="shared" si="16"/>
        <v>20181.680000000015</v>
      </c>
      <c r="D441" s="37"/>
      <c r="E441" s="131">
        <v>20250929</v>
      </c>
      <c r="F441" s="132"/>
      <c r="G441" s="132" t="s">
        <v>362</v>
      </c>
      <c r="H441" s="132"/>
      <c r="I441" s="132" t="s">
        <v>363</v>
      </c>
      <c r="J441" s="132" t="s">
        <v>364</v>
      </c>
      <c r="K441" s="132">
        <v>-105.51</v>
      </c>
      <c r="L441" s="132" t="s">
        <v>365</v>
      </c>
      <c r="M441" s="132" t="s">
        <v>1037</v>
      </c>
      <c r="N441" s="132" t="s">
        <v>1038</v>
      </c>
    </row>
    <row r="442" spans="1:14" ht="16" x14ac:dyDescent="0.2">
      <c r="A442" s="40" t="s">
        <v>301</v>
      </c>
      <c r="B442" s="41">
        <f t="shared" si="15"/>
        <v>-2587.2800000000002</v>
      </c>
      <c r="C442" s="497">
        <f t="shared" si="16"/>
        <v>17594.400000000016</v>
      </c>
      <c r="D442" s="37"/>
      <c r="E442" s="131">
        <v>20250929</v>
      </c>
      <c r="F442" s="132"/>
      <c r="G442" s="132" t="s">
        <v>362</v>
      </c>
      <c r="H442" s="132"/>
      <c r="I442" s="132" t="s">
        <v>363</v>
      </c>
      <c r="J442" s="132" t="s">
        <v>364</v>
      </c>
      <c r="K442" s="132">
        <v>-2587.2800000000002</v>
      </c>
      <c r="L442" s="132" t="s">
        <v>365</v>
      </c>
      <c r="M442" s="132" t="s">
        <v>1039</v>
      </c>
      <c r="N442" s="132" t="s">
        <v>1040</v>
      </c>
    </row>
    <row r="443" spans="1:14" ht="16" x14ac:dyDescent="0.2">
      <c r="A443" s="40" t="s">
        <v>300</v>
      </c>
      <c r="B443" s="41">
        <f t="shared" si="15"/>
        <v>-1500</v>
      </c>
      <c r="C443" s="497">
        <f t="shared" si="16"/>
        <v>16094.400000000016</v>
      </c>
      <c r="D443" s="37"/>
      <c r="E443" s="131">
        <v>20250929</v>
      </c>
      <c r="F443" s="132"/>
      <c r="G443" s="132" t="s">
        <v>362</v>
      </c>
      <c r="H443" s="132"/>
      <c r="I443" s="132" t="s">
        <v>363</v>
      </c>
      <c r="J443" s="132" t="s">
        <v>364</v>
      </c>
      <c r="K443" s="132">
        <v>-1500</v>
      </c>
      <c r="L443" s="132" t="s">
        <v>365</v>
      </c>
      <c r="M443" s="132" t="s">
        <v>1041</v>
      </c>
      <c r="N443" s="132" t="s">
        <v>1042</v>
      </c>
    </row>
    <row r="444" spans="1:14" ht="16" x14ac:dyDescent="0.2">
      <c r="A444" s="40" t="s">
        <v>88</v>
      </c>
      <c r="B444" s="41">
        <f t="shared" si="15"/>
        <v>-19.010000000000002</v>
      </c>
      <c r="C444" s="497">
        <f t="shared" si="16"/>
        <v>16075.390000000016</v>
      </c>
      <c r="D444" s="37"/>
      <c r="E444" s="131">
        <v>20250929</v>
      </c>
      <c r="F444" s="132"/>
      <c r="G444" s="132" t="s">
        <v>362</v>
      </c>
      <c r="H444" s="132"/>
      <c r="I444" s="132" t="s">
        <v>363</v>
      </c>
      <c r="J444" s="132" t="s">
        <v>364</v>
      </c>
      <c r="K444" s="132">
        <v>-19.010000000000002</v>
      </c>
      <c r="L444" s="132" t="s">
        <v>365</v>
      </c>
      <c r="M444" s="132" t="s">
        <v>1043</v>
      </c>
      <c r="N444" s="132" t="s">
        <v>1044</v>
      </c>
    </row>
    <row r="445" spans="1:14" ht="16" x14ac:dyDescent="0.2">
      <c r="A445" s="40" t="s">
        <v>298</v>
      </c>
      <c r="B445" s="41">
        <f t="shared" si="15"/>
        <v>-5172.05</v>
      </c>
      <c r="C445" s="497">
        <f t="shared" si="16"/>
        <v>10903.340000000015</v>
      </c>
      <c r="D445" s="37"/>
      <c r="E445" s="131">
        <v>20250929</v>
      </c>
      <c r="F445" s="132"/>
      <c r="G445" s="132" t="s">
        <v>362</v>
      </c>
      <c r="H445" s="132"/>
      <c r="I445" s="132" t="s">
        <v>363</v>
      </c>
      <c r="J445" s="132" t="s">
        <v>364</v>
      </c>
      <c r="K445" s="132">
        <v>-5172.05</v>
      </c>
      <c r="L445" s="132" t="s">
        <v>365</v>
      </c>
      <c r="M445" s="132" t="s">
        <v>1045</v>
      </c>
      <c r="N445" s="132" t="s">
        <v>1046</v>
      </c>
    </row>
    <row r="446" spans="1:14" ht="16" x14ac:dyDescent="0.2">
      <c r="A446" s="40" t="s">
        <v>329</v>
      </c>
      <c r="B446" s="41">
        <f t="shared" si="15"/>
        <v>-300</v>
      </c>
      <c r="C446" s="497">
        <f t="shared" si="16"/>
        <v>10603.340000000015</v>
      </c>
      <c r="D446" s="37"/>
      <c r="E446" s="131">
        <v>20250929</v>
      </c>
      <c r="F446" s="132"/>
      <c r="G446" s="132" t="s">
        <v>362</v>
      </c>
      <c r="H446" s="132"/>
      <c r="I446" s="132" t="s">
        <v>363</v>
      </c>
      <c r="J446" s="132" t="s">
        <v>364</v>
      </c>
      <c r="K446" s="132">
        <v>-300</v>
      </c>
      <c r="L446" s="132" t="s">
        <v>365</v>
      </c>
      <c r="M446" s="132" t="s">
        <v>1047</v>
      </c>
      <c r="N446" s="132" t="s">
        <v>1048</v>
      </c>
    </row>
    <row r="447" spans="1:14" ht="16" x14ac:dyDescent="0.2">
      <c r="A447" s="40" t="s">
        <v>281</v>
      </c>
      <c r="B447" s="41">
        <f t="shared" si="15"/>
        <v>-135.69999999999999</v>
      </c>
      <c r="C447" s="497">
        <f t="shared" si="16"/>
        <v>10467.640000000014</v>
      </c>
      <c r="D447" s="37"/>
      <c r="E447" s="131">
        <v>20250929</v>
      </c>
      <c r="F447" s="132"/>
      <c r="G447" s="132" t="s">
        <v>362</v>
      </c>
      <c r="H447" s="132"/>
      <c r="I447" s="132" t="s">
        <v>363</v>
      </c>
      <c r="J447" s="132" t="s">
        <v>364</v>
      </c>
      <c r="K447" s="132">
        <v>-135.69999999999999</v>
      </c>
      <c r="L447" s="132" t="s">
        <v>365</v>
      </c>
      <c r="M447" s="132" t="s">
        <v>1049</v>
      </c>
      <c r="N447" s="132" t="s">
        <v>1050</v>
      </c>
    </row>
    <row r="448" spans="1:14" ht="16" x14ac:dyDescent="0.2">
      <c r="A448" s="40" t="s">
        <v>318</v>
      </c>
      <c r="B448" s="41">
        <f t="shared" si="15"/>
        <v>-9000</v>
      </c>
      <c r="C448" s="497">
        <f t="shared" si="16"/>
        <v>1467.640000000014</v>
      </c>
      <c r="D448" s="37"/>
      <c r="E448" s="131">
        <v>20250929</v>
      </c>
      <c r="F448" s="132"/>
      <c r="G448" s="132" t="s">
        <v>362</v>
      </c>
      <c r="H448" s="133"/>
      <c r="I448" s="132" t="s">
        <v>363</v>
      </c>
      <c r="J448" s="132" t="s">
        <v>364</v>
      </c>
      <c r="K448" s="132">
        <v>-9000</v>
      </c>
      <c r="L448" s="132" t="s">
        <v>365</v>
      </c>
      <c r="M448" s="132" t="s">
        <v>1051</v>
      </c>
      <c r="N448" s="132" t="s">
        <v>1052</v>
      </c>
    </row>
    <row r="449" spans="1:14" ht="16" x14ac:dyDescent="0.2">
      <c r="A449" s="40" t="s">
        <v>146</v>
      </c>
      <c r="B449" s="41">
        <f t="shared" si="15"/>
        <v>197.1</v>
      </c>
      <c r="C449" s="497">
        <f t="shared" si="16"/>
        <v>1664.7400000000139</v>
      </c>
      <c r="D449" s="37"/>
      <c r="E449" s="131">
        <v>20250929</v>
      </c>
      <c r="F449" s="132"/>
      <c r="G449" s="132" t="s">
        <v>362</v>
      </c>
      <c r="H449" s="132"/>
      <c r="I449" s="132" t="s">
        <v>372</v>
      </c>
      <c r="J449" s="132" t="s">
        <v>373</v>
      </c>
      <c r="K449" s="132">
        <v>197.1</v>
      </c>
      <c r="L449" s="132" t="s">
        <v>374</v>
      </c>
      <c r="M449" s="132" t="s">
        <v>1053</v>
      </c>
      <c r="N449" s="132"/>
    </row>
    <row r="450" spans="1:14" ht="16" x14ac:dyDescent="0.2">
      <c r="A450" s="97" t="s">
        <v>80</v>
      </c>
      <c r="B450" s="41">
        <f t="shared" si="15"/>
        <v>145.68</v>
      </c>
      <c r="C450" s="497">
        <f t="shared" si="16"/>
        <v>1810.4200000000139</v>
      </c>
      <c r="D450" s="37"/>
      <c r="E450" s="131">
        <v>20250929</v>
      </c>
      <c r="F450" s="132"/>
      <c r="G450" s="132" t="s">
        <v>362</v>
      </c>
      <c r="H450" s="132"/>
      <c r="I450" s="132" t="s">
        <v>372</v>
      </c>
      <c r="J450" s="132" t="s">
        <v>373</v>
      </c>
      <c r="K450" s="132">
        <v>145.68</v>
      </c>
      <c r="L450" s="132" t="s">
        <v>374</v>
      </c>
      <c r="M450" s="132" t="s">
        <v>1054</v>
      </c>
    </row>
    <row r="451" spans="1:14" ht="16" x14ac:dyDescent="0.2">
      <c r="A451" s="97" t="s">
        <v>80</v>
      </c>
      <c r="B451" s="41">
        <f t="shared" si="15"/>
        <v>45.89</v>
      </c>
      <c r="C451" s="497">
        <f t="shared" si="16"/>
        <v>1856.310000000014</v>
      </c>
      <c r="D451" s="37"/>
      <c r="E451" s="131">
        <v>20250930</v>
      </c>
      <c r="F451" s="132"/>
      <c r="G451" s="132" t="s">
        <v>362</v>
      </c>
      <c r="H451" s="132"/>
      <c r="I451" s="132" t="s">
        <v>372</v>
      </c>
      <c r="J451" s="132" t="s">
        <v>373</v>
      </c>
      <c r="K451" s="132">
        <v>45.89</v>
      </c>
      <c r="L451" s="132" t="s">
        <v>374</v>
      </c>
      <c r="M451" s="132" t="s">
        <v>1055</v>
      </c>
    </row>
    <row r="452" spans="1:14" ht="16" x14ac:dyDescent="0.2">
      <c r="A452" s="97" t="s">
        <v>80</v>
      </c>
      <c r="B452" s="41">
        <f t="shared" si="15"/>
        <v>56.17</v>
      </c>
      <c r="C452" s="497">
        <f t="shared" si="16"/>
        <v>1912.4800000000141</v>
      </c>
      <c r="D452" s="37"/>
      <c r="E452" s="131">
        <v>20251001</v>
      </c>
      <c r="F452" s="132"/>
      <c r="G452" s="132" t="s">
        <v>362</v>
      </c>
      <c r="H452" s="132"/>
      <c r="I452" s="132" t="s">
        <v>372</v>
      </c>
      <c r="J452" s="132" t="s">
        <v>373</v>
      </c>
      <c r="K452" s="132">
        <v>56.17</v>
      </c>
      <c r="L452" s="132" t="s">
        <v>374</v>
      </c>
      <c r="M452" s="132" t="s">
        <v>1056</v>
      </c>
    </row>
    <row r="453" spans="1:14" ht="16" x14ac:dyDescent="0.2">
      <c r="A453" s="97" t="s">
        <v>80</v>
      </c>
      <c r="B453" s="41">
        <f t="shared" si="15"/>
        <v>142.96</v>
      </c>
      <c r="C453" s="497">
        <f t="shared" si="16"/>
        <v>2055.4400000000142</v>
      </c>
      <c r="D453" s="37"/>
      <c r="E453" s="131">
        <v>20251002</v>
      </c>
      <c r="F453" s="132"/>
      <c r="G453" s="132" t="s">
        <v>362</v>
      </c>
      <c r="H453" s="132"/>
      <c r="I453" s="132" t="s">
        <v>372</v>
      </c>
      <c r="J453" s="132" t="s">
        <v>373</v>
      </c>
      <c r="K453" s="132">
        <v>142.96</v>
      </c>
      <c r="L453" s="132" t="s">
        <v>374</v>
      </c>
      <c r="M453" s="132" t="s">
        <v>1057</v>
      </c>
    </row>
    <row r="454" spans="1:14" ht="16" x14ac:dyDescent="0.2">
      <c r="A454" s="97" t="s">
        <v>80</v>
      </c>
      <c r="B454" s="41">
        <f t="shared" si="15"/>
        <v>71.3</v>
      </c>
      <c r="C454" s="497">
        <f t="shared" si="16"/>
        <v>2126.7400000000143</v>
      </c>
      <c r="D454" s="37"/>
      <c r="E454" s="131">
        <v>20251003</v>
      </c>
      <c r="F454" s="132"/>
      <c r="G454" s="132" t="s">
        <v>362</v>
      </c>
      <c r="H454" s="132"/>
      <c r="I454" s="132" t="s">
        <v>372</v>
      </c>
      <c r="J454" s="132" t="s">
        <v>373</v>
      </c>
      <c r="K454" s="132">
        <v>71.3</v>
      </c>
      <c r="L454" s="132" t="s">
        <v>374</v>
      </c>
      <c r="M454" s="132" t="s">
        <v>1058</v>
      </c>
    </row>
    <row r="455" spans="1:14" ht="16" x14ac:dyDescent="0.2">
      <c r="A455" s="40" t="s">
        <v>289</v>
      </c>
      <c r="B455" s="41">
        <f t="shared" si="15"/>
        <v>-140.76</v>
      </c>
      <c r="C455" s="497">
        <f t="shared" si="16"/>
        <v>1985.9800000000143</v>
      </c>
      <c r="D455" s="37"/>
      <c r="E455" s="131">
        <v>20251006</v>
      </c>
      <c r="F455" s="132"/>
      <c r="G455" s="132" t="s">
        <v>362</v>
      </c>
      <c r="H455" s="132"/>
      <c r="I455" s="132" t="s">
        <v>363</v>
      </c>
      <c r="J455" s="132" t="s">
        <v>364</v>
      </c>
      <c r="K455" s="132">
        <v>-140.76</v>
      </c>
      <c r="L455" s="132" t="s">
        <v>365</v>
      </c>
      <c r="M455" s="132" t="s">
        <v>1060</v>
      </c>
      <c r="N455" s="132" t="s">
        <v>1061</v>
      </c>
    </row>
    <row r="456" spans="1:14" ht="16" x14ac:dyDescent="0.2">
      <c r="A456" s="40" t="s">
        <v>160</v>
      </c>
      <c r="B456" s="41">
        <f t="shared" si="15"/>
        <v>-1500</v>
      </c>
      <c r="C456" s="497">
        <f t="shared" si="16"/>
        <v>485.98000000001434</v>
      </c>
      <c r="D456" s="37"/>
      <c r="E456" s="131">
        <v>20251006</v>
      </c>
      <c r="F456" s="132"/>
      <c r="G456" s="132" t="s">
        <v>362</v>
      </c>
      <c r="H456" s="132"/>
      <c r="I456" s="132" t="s">
        <v>363</v>
      </c>
      <c r="J456" s="132" t="s">
        <v>364</v>
      </c>
      <c r="K456" s="132">
        <v>-1500</v>
      </c>
      <c r="L456" s="132" t="s">
        <v>365</v>
      </c>
      <c r="M456" s="132" t="s">
        <v>1062</v>
      </c>
      <c r="N456" s="132" t="s">
        <v>1063</v>
      </c>
    </row>
    <row r="457" spans="1:14" ht="16" x14ac:dyDescent="0.2">
      <c r="A457" s="40" t="s">
        <v>83</v>
      </c>
      <c r="B457" s="41">
        <f t="shared" si="15"/>
        <v>-456</v>
      </c>
      <c r="C457" s="497">
        <f t="shared" si="16"/>
        <v>29.980000000014343</v>
      </c>
      <c r="E457" s="131">
        <v>20251006</v>
      </c>
      <c r="F457" s="132"/>
      <c r="G457" s="132" t="s">
        <v>362</v>
      </c>
      <c r="H457" s="132"/>
      <c r="I457" s="132" t="s">
        <v>936</v>
      </c>
      <c r="J457" s="132" t="s">
        <v>364</v>
      </c>
      <c r="K457" s="132">
        <v>-456</v>
      </c>
      <c r="L457" s="132" t="s">
        <v>937</v>
      </c>
      <c r="M457" s="132" t="s">
        <v>1064</v>
      </c>
      <c r="N457" s="132" t="s">
        <v>1065</v>
      </c>
    </row>
    <row r="458" spans="1:14" ht="16" x14ac:dyDescent="0.2">
      <c r="A458" s="97" t="s">
        <v>80</v>
      </c>
      <c r="B458" s="41">
        <f t="shared" si="15"/>
        <v>47.84</v>
      </c>
      <c r="C458" s="497">
        <f t="shared" si="16"/>
        <v>77.820000000014346</v>
      </c>
      <c r="E458" s="131">
        <v>20251006</v>
      </c>
      <c r="F458" s="132"/>
      <c r="G458" s="132" t="s">
        <v>362</v>
      </c>
      <c r="H458" s="132"/>
      <c r="I458" s="132" t="s">
        <v>372</v>
      </c>
      <c r="J458" s="132" t="s">
        <v>373</v>
      </c>
      <c r="K458" s="132">
        <v>47.84</v>
      </c>
      <c r="L458" s="132" t="s">
        <v>374</v>
      </c>
      <c r="M458" s="132" t="s">
        <v>1066</v>
      </c>
    </row>
    <row r="459" spans="1:14" ht="16" x14ac:dyDescent="0.2">
      <c r="A459" s="97" t="s">
        <v>80</v>
      </c>
      <c r="B459" s="41">
        <f t="shared" si="15"/>
        <v>79.989999999999995</v>
      </c>
      <c r="C459" s="497">
        <f t="shared" si="16"/>
        <v>157.81000000001433</v>
      </c>
      <c r="E459" s="131">
        <v>20251007</v>
      </c>
      <c r="F459" s="132"/>
      <c r="G459" s="132" t="s">
        <v>362</v>
      </c>
      <c r="H459" s="132"/>
      <c r="I459" s="132" t="s">
        <v>372</v>
      </c>
      <c r="J459" s="132" t="s">
        <v>373</v>
      </c>
      <c r="K459" s="132">
        <v>79.989999999999995</v>
      </c>
      <c r="L459" s="132" t="s">
        <v>374</v>
      </c>
      <c r="M459" s="132" t="s">
        <v>1067</v>
      </c>
    </row>
    <row r="460" spans="1:14" ht="16" x14ac:dyDescent="0.2">
      <c r="A460" s="97" t="s">
        <v>80</v>
      </c>
      <c r="B460" s="41">
        <f t="shared" si="15"/>
        <v>225.47</v>
      </c>
      <c r="C460" s="497">
        <f t="shared" si="16"/>
        <v>383.2800000000143</v>
      </c>
      <c r="E460" s="131">
        <v>20251008</v>
      </c>
      <c r="F460" s="132"/>
      <c r="G460" s="132" t="s">
        <v>362</v>
      </c>
      <c r="H460" s="132"/>
      <c r="I460" s="132" t="s">
        <v>372</v>
      </c>
      <c r="J460" s="132" t="s">
        <v>373</v>
      </c>
      <c r="K460" s="132">
        <v>225.47</v>
      </c>
      <c r="L460" s="132" t="s">
        <v>374</v>
      </c>
      <c r="M460" s="132" t="s">
        <v>1068</v>
      </c>
    </row>
    <row r="461" spans="1:14" ht="16" x14ac:dyDescent="0.2">
      <c r="A461" s="97" t="s">
        <v>80</v>
      </c>
      <c r="B461" s="41">
        <f t="shared" si="15"/>
        <v>103.78</v>
      </c>
      <c r="C461" s="497">
        <f t="shared" si="16"/>
        <v>487.06000000001427</v>
      </c>
      <c r="E461" s="131">
        <v>20251009</v>
      </c>
      <c r="F461" s="132"/>
      <c r="G461" s="132" t="s">
        <v>362</v>
      </c>
      <c r="H461" s="132"/>
      <c r="I461" s="132" t="s">
        <v>372</v>
      </c>
      <c r="J461" s="132" t="s">
        <v>373</v>
      </c>
      <c r="K461" s="132">
        <v>103.78</v>
      </c>
      <c r="L461" s="132" t="s">
        <v>374</v>
      </c>
      <c r="M461" s="132" t="s">
        <v>1069</v>
      </c>
    </row>
    <row r="462" spans="1:14" ht="16" x14ac:dyDescent="0.2">
      <c r="A462" s="40" t="s">
        <v>83</v>
      </c>
      <c r="B462" s="41">
        <f t="shared" si="15"/>
        <v>-40</v>
      </c>
      <c r="C462" s="497">
        <f t="shared" si="16"/>
        <v>447.06000000001427</v>
      </c>
      <c r="E462" s="131">
        <v>20251010</v>
      </c>
      <c r="F462" s="132"/>
      <c r="G462" s="132" t="s">
        <v>362</v>
      </c>
      <c r="H462" s="132"/>
      <c r="I462" s="132" t="s">
        <v>936</v>
      </c>
      <c r="J462" s="132" t="s">
        <v>364</v>
      </c>
      <c r="K462" s="132">
        <v>-40</v>
      </c>
      <c r="L462" s="132" t="s">
        <v>937</v>
      </c>
      <c r="M462" s="132" t="s">
        <v>1070</v>
      </c>
      <c r="N462" s="132" t="s">
        <v>1071</v>
      </c>
    </row>
    <row r="463" spans="1:14" ht="16" x14ac:dyDescent="0.2">
      <c r="A463" s="40" t="s">
        <v>83</v>
      </c>
      <c r="B463" s="41">
        <f t="shared" si="15"/>
        <v>-228</v>
      </c>
      <c r="C463" s="497">
        <f t="shared" si="16"/>
        <v>219.06000000001427</v>
      </c>
      <c r="E463" s="131">
        <v>20251010</v>
      </c>
      <c r="F463" s="132"/>
      <c r="G463" s="132" t="s">
        <v>362</v>
      </c>
      <c r="H463" s="132"/>
      <c r="I463" s="132" t="s">
        <v>936</v>
      </c>
      <c r="J463" s="132" t="s">
        <v>364</v>
      </c>
      <c r="K463" s="132">
        <v>-228</v>
      </c>
      <c r="L463" s="132" t="s">
        <v>937</v>
      </c>
      <c r="M463" s="132" t="s">
        <v>1072</v>
      </c>
      <c r="N463" s="132" t="s">
        <v>1073</v>
      </c>
    </row>
    <row r="464" spans="1:14" ht="16" x14ac:dyDescent="0.2">
      <c r="A464" s="40" t="s">
        <v>289</v>
      </c>
      <c r="B464" s="41">
        <f t="shared" si="15"/>
        <v>-93.84</v>
      </c>
      <c r="C464" s="497">
        <f t="shared" si="16"/>
        <v>125.22000000001427</v>
      </c>
      <c r="E464" s="131">
        <v>20251010</v>
      </c>
      <c r="F464" s="132"/>
      <c r="G464" s="132" t="s">
        <v>362</v>
      </c>
      <c r="H464" s="132"/>
      <c r="I464" s="132" t="s">
        <v>363</v>
      </c>
      <c r="J464" s="132" t="s">
        <v>364</v>
      </c>
      <c r="K464" s="132">
        <v>-93.84</v>
      </c>
      <c r="L464" s="132" t="s">
        <v>365</v>
      </c>
      <c r="M464" s="132" t="s">
        <v>1074</v>
      </c>
      <c r="N464" s="132" t="s">
        <v>1075</v>
      </c>
    </row>
    <row r="465" spans="1:14" ht="16" x14ac:dyDescent="0.2">
      <c r="A465" s="40" t="s">
        <v>165</v>
      </c>
      <c r="B465" s="41">
        <f t="shared" si="15"/>
        <v>302.04000000000002</v>
      </c>
      <c r="C465" s="497">
        <f t="shared" si="16"/>
        <v>427.26000000001432</v>
      </c>
      <c r="E465" s="131">
        <v>20251013</v>
      </c>
      <c r="F465" s="132"/>
      <c r="G465" s="132" t="s">
        <v>362</v>
      </c>
      <c r="H465" s="132"/>
      <c r="I465" s="132" t="s">
        <v>372</v>
      </c>
      <c r="J465" s="132" t="s">
        <v>373</v>
      </c>
      <c r="K465" s="132">
        <v>302.04000000000002</v>
      </c>
      <c r="L465" s="132" t="s">
        <v>374</v>
      </c>
      <c r="M465" s="132" t="s">
        <v>1076</v>
      </c>
      <c r="N465" s="132"/>
    </row>
    <row r="466" spans="1:14" ht="16" x14ac:dyDescent="0.2">
      <c r="A466" s="40" t="s">
        <v>103</v>
      </c>
      <c r="B466" s="41">
        <f>K466</f>
        <v>-30.25</v>
      </c>
      <c r="C466" s="497">
        <f t="shared" si="16"/>
        <v>397.01000000001432</v>
      </c>
      <c r="E466" s="131">
        <v>20251014</v>
      </c>
      <c r="F466" s="132"/>
      <c r="G466" s="132" t="s">
        <v>362</v>
      </c>
      <c r="H466" s="132"/>
      <c r="I466" s="132" t="s">
        <v>368</v>
      </c>
      <c r="J466" s="132" t="s">
        <v>364</v>
      </c>
      <c r="K466" s="132">
        <v>-30.25</v>
      </c>
      <c r="L466" s="132" t="s">
        <v>369</v>
      </c>
      <c r="N466" s="132"/>
    </row>
    <row r="467" spans="1:14" ht="16" x14ac:dyDescent="0.2">
      <c r="A467" s="40" t="s">
        <v>317</v>
      </c>
      <c r="B467" s="41">
        <f>K467</f>
        <v>1300</v>
      </c>
      <c r="C467" s="497">
        <f t="shared" si="16"/>
        <v>1697.0100000000143</v>
      </c>
      <c r="E467" s="131">
        <v>20251014</v>
      </c>
      <c r="F467" s="132"/>
      <c r="G467" s="132" t="s">
        <v>362</v>
      </c>
      <c r="H467" s="133"/>
      <c r="I467" s="132" t="s">
        <v>363</v>
      </c>
      <c r="J467" s="132" t="s">
        <v>373</v>
      </c>
      <c r="K467" s="132">
        <v>1300</v>
      </c>
      <c r="L467" s="132" t="s">
        <v>365</v>
      </c>
      <c r="N467" s="132" t="s">
        <v>1077</v>
      </c>
    </row>
    <row r="468" spans="1:14" ht="16" x14ac:dyDescent="0.2">
      <c r="A468" s="40" t="s">
        <v>160</v>
      </c>
      <c r="B468" s="41">
        <f>K468</f>
        <v>-1500</v>
      </c>
      <c r="C468" s="497">
        <f t="shared" si="16"/>
        <v>197.01000000001432</v>
      </c>
      <c r="E468" s="131">
        <v>20251014</v>
      </c>
      <c r="F468" s="132"/>
      <c r="G468" s="132" t="s">
        <v>362</v>
      </c>
      <c r="H468" s="132"/>
      <c r="I468" s="132" t="s">
        <v>363</v>
      </c>
      <c r="J468" s="132" t="s">
        <v>364</v>
      </c>
      <c r="K468" s="132">
        <v>-1500</v>
      </c>
      <c r="L468" s="132" t="s">
        <v>365</v>
      </c>
      <c r="N468" s="132" t="s">
        <v>1078</v>
      </c>
    </row>
    <row r="469" spans="1:14" ht="16" x14ac:dyDescent="0.2">
      <c r="A469" s="40" t="s">
        <v>162</v>
      </c>
      <c r="B469" s="41">
        <f t="shared" si="15"/>
        <v>-190.75</v>
      </c>
      <c r="C469" s="497">
        <f t="shared" si="16"/>
        <v>6.2600000000143154</v>
      </c>
      <c r="E469" s="131">
        <v>20251014</v>
      </c>
      <c r="F469" s="132"/>
      <c r="G469" s="132" t="s">
        <v>362</v>
      </c>
      <c r="H469" s="132"/>
      <c r="I469" s="132" t="s">
        <v>363</v>
      </c>
      <c r="J469" s="132" t="s">
        <v>364</v>
      </c>
      <c r="K469" s="132">
        <v>-190.75</v>
      </c>
      <c r="L469" s="132" t="s">
        <v>365</v>
      </c>
      <c r="M469" s="132" t="s">
        <v>1079</v>
      </c>
      <c r="N469" s="132" t="s">
        <v>1080</v>
      </c>
    </row>
    <row r="470" spans="1:14" ht="16" x14ac:dyDescent="0.2">
      <c r="A470" s="40" t="s">
        <v>165</v>
      </c>
      <c r="B470" s="41">
        <v>326.58</v>
      </c>
      <c r="C470" s="497">
        <f t="shared" si="16"/>
        <v>332.8400000000143</v>
      </c>
      <c r="E470" s="131">
        <v>20251016</v>
      </c>
      <c r="F470" s="132"/>
      <c r="G470" s="132" t="s">
        <v>362</v>
      </c>
      <c r="H470" s="132"/>
      <c r="I470" s="132" t="s">
        <v>372</v>
      </c>
      <c r="J470" s="132" t="s">
        <v>373</v>
      </c>
      <c r="K470" s="132">
        <v>326.58</v>
      </c>
      <c r="L470" s="132" t="s">
        <v>374</v>
      </c>
      <c r="M470" s="132" t="s">
        <v>7667</v>
      </c>
    </row>
    <row r="471" spans="1:14" ht="16" x14ac:dyDescent="0.2">
      <c r="A471" s="40" t="s">
        <v>121</v>
      </c>
      <c r="B471" s="41">
        <v>-39.97</v>
      </c>
      <c r="C471" s="497">
        <f t="shared" si="16"/>
        <v>292.87000000001433</v>
      </c>
      <c r="E471" s="131">
        <v>20251016</v>
      </c>
      <c r="F471" s="132"/>
      <c r="G471" s="132" t="s">
        <v>362</v>
      </c>
      <c r="H471" s="132"/>
      <c r="I471" s="132" t="s">
        <v>363</v>
      </c>
      <c r="J471" s="132" t="s">
        <v>364</v>
      </c>
      <c r="K471" s="132">
        <v>39.97</v>
      </c>
      <c r="L471" s="132" t="s">
        <v>365</v>
      </c>
      <c r="M471" s="132" t="s">
        <v>7668</v>
      </c>
      <c r="N471" t="s">
        <v>1081</v>
      </c>
    </row>
    <row r="472" spans="1:14" ht="16" x14ac:dyDescent="0.2">
      <c r="B472" s="41"/>
      <c r="C472" s="497"/>
      <c r="M472" s="132" t="s">
        <v>1082</v>
      </c>
    </row>
    <row r="473" spans="1:14" ht="16" x14ac:dyDescent="0.2">
      <c r="B473" s="41"/>
      <c r="C473" s="497"/>
      <c r="K473" s="142"/>
    </row>
    <row r="474" spans="1:14" ht="16" x14ac:dyDescent="0.2">
      <c r="B474" s="41"/>
      <c r="C474" s="497"/>
      <c r="K474" s="142"/>
    </row>
    <row r="475" spans="1:14" ht="16" x14ac:dyDescent="0.2">
      <c r="B475" s="41"/>
      <c r="C475" s="497"/>
      <c r="K475" s="142"/>
    </row>
    <row r="476" spans="1:14" ht="16" x14ac:dyDescent="0.2">
      <c r="B476" s="41"/>
      <c r="C476" s="497"/>
      <c r="K476" s="142"/>
    </row>
    <row r="477" spans="1:14" ht="16" x14ac:dyDescent="0.2">
      <c r="B477" s="41"/>
      <c r="C477" s="497"/>
      <c r="K477" s="142"/>
    </row>
    <row r="478" spans="1:14" ht="16" x14ac:dyDescent="0.2">
      <c r="B478" s="41"/>
      <c r="C478" s="497"/>
      <c r="K478" s="142"/>
    </row>
    <row r="479" spans="1:14" ht="16" x14ac:dyDescent="0.2">
      <c r="B479" s="41"/>
      <c r="C479" s="497"/>
      <c r="K479" s="142"/>
    </row>
    <row r="480" spans="1:14" ht="16" x14ac:dyDescent="0.2">
      <c r="B480" s="41"/>
      <c r="C480" s="497"/>
      <c r="K480" s="142"/>
    </row>
    <row r="481" spans="2:11" ht="16" x14ac:dyDescent="0.2">
      <c r="B481" s="41"/>
      <c r="C481" s="497"/>
      <c r="K481" s="142"/>
    </row>
    <row r="482" spans="2:11" ht="16" x14ac:dyDescent="0.2">
      <c r="B482" s="41"/>
      <c r="C482" s="497"/>
      <c r="K482" s="142"/>
    </row>
    <row r="483" spans="2:11" ht="16" x14ac:dyDescent="0.2">
      <c r="B483" s="41"/>
      <c r="C483" s="497"/>
      <c r="K483" s="142"/>
    </row>
    <row r="484" spans="2:11" ht="16" x14ac:dyDescent="0.2">
      <c r="B484" s="41"/>
      <c r="C484" s="497"/>
      <c r="K484" s="142"/>
    </row>
    <row r="485" spans="2:11" ht="16" x14ac:dyDescent="0.2">
      <c r="B485" s="41"/>
      <c r="C485" s="497"/>
      <c r="K485" s="142"/>
    </row>
    <row r="486" spans="2:11" ht="16" x14ac:dyDescent="0.2">
      <c r="B486" s="41"/>
      <c r="C486" s="497"/>
      <c r="K486" s="142"/>
    </row>
    <row r="487" spans="2:11" ht="16" x14ac:dyDescent="0.2">
      <c r="B487" s="41"/>
      <c r="C487" s="497"/>
      <c r="K487" s="142"/>
    </row>
    <row r="488" spans="2:11" ht="16" x14ac:dyDescent="0.2">
      <c r="B488" s="41"/>
      <c r="C488" s="497"/>
      <c r="K488" s="142"/>
    </row>
    <row r="489" spans="2:11" ht="16" x14ac:dyDescent="0.2">
      <c r="B489" s="41"/>
      <c r="C489" s="497"/>
      <c r="K489" s="142"/>
    </row>
    <row r="490" spans="2:11" ht="16" x14ac:dyDescent="0.2">
      <c r="B490" s="41"/>
      <c r="C490" s="497"/>
      <c r="K490" s="142"/>
    </row>
    <row r="491" spans="2:11" ht="16" x14ac:dyDescent="0.2">
      <c r="B491" s="41"/>
      <c r="C491" s="497"/>
      <c r="K491" s="142"/>
    </row>
    <row r="492" spans="2:11" ht="16" x14ac:dyDescent="0.2">
      <c r="B492" s="41"/>
      <c r="C492" s="497"/>
      <c r="K492" s="142"/>
    </row>
    <row r="493" spans="2:11" ht="16" x14ac:dyDescent="0.2">
      <c r="B493" s="41"/>
      <c r="C493" s="497"/>
      <c r="K493" s="142"/>
    </row>
    <row r="494" spans="2:11" ht="16" x14ac:dyDescent="0.2">
      <c r="B494" s="41"/>
      <c r="C494" s="497"/>
      <c r="K494" s="142"/>
    </row>
    <row r="495" spans="2:11" ht="16" x14ac:dyDescent="0.2">
      <c r="B495" s="41"/>
      <c r="C495" s="497"/>
      <c r="K495" s="142"/>
    </row>
    <row r="496" spans="2:11" ht="16" x14ac:dyDescent="0.2">
      <c r="B496" s="41"/>
      <c r="C496" s="497"/>
      <c r="K496" s="142"/>
    </row>
    <row r="497" spans="2:11" ht="16" x14ac:dyDescent="0.2">
      <c r="B497" s="41"/>
      <c r="C497" s="497"/>
      <c r="K497" s="142"/>
    </row>
    <row r="498" spans="2:11" ht="16" x14ac:dyDescent="0.2">
      <c r="B498" s="41"/>
      <c r="C498" s="497"/>
      <c r="K498" s="142"/>
    </row>
    <row r="499" spans="2:11" ht="16" x14ac:dyDescent="0.2">
      <c r="B499" s="41"/>
      <c r="C499" s="497"/>
      <c r="K499" s="142"/>
    </row>
    <row r="500" spans="2:11" ht="16" x14ac:dyDescent="0.2">
      <c r="B500" s="41"/>
      <c r="C500" s="497"/>
      <c r="K500" s="142"/>
    </row>
    <row r="501" spans="2:11" ht="16" x14ac:dyDescent="0.2">
      <c r="B501" s="41"/>
      <c r="C501" s="497"/>
      <c r="K501" s="142"/>
    </row>
    <row r="502" spans="2:11" ht="16" x14ac:dyDescent="0.2">
      <c r="B502" s="41"/>
      <c r="C502" s="497"/>
      <c r="K502" s="142"/>
    </row>
    <row r="503" spans="2:11" ht="16" x14ac:dyDescent="0.2">
      <c r="B503" s="41"/>
      <c r="C503" s="497"/>
      <c r="K503" s="142"/>
    </row>
    <row r="504" spans="2:11" ht="16" x14ac:dyDescent="0.2">
      <c r="B504" s="41"/>
      <c r="C504" s="497"/>
      <c r="K504" s="142"/>
    </row>
    <row r="505" spans="2:11" ht="16" x14ac:dyDescent="0.2">
      <c r="B505" s="41"/>
      <c r="C505" s="497"/>
      <c r="K505" s="142"/>
    </row>
    <row r="506" spans="2:11" ht="16" x14ac:dyDescent="0.2">
      <c r="B506" s="41"/>
      <c r="C506" s="497"/>
      <c r="K506" s="142"/>
    </row>
    <row r="507" spans="2:11" ht="16" x14ac:dyDescent="0.2">
      <c r="B507" s="41"/>
      <c r="C507" s="497"/>
      <c r="K507" s="142"/>
    </row>
    <row r="508" spans="2:11" ht="16" x14ac:dyDescent="0.2">
      <c r="B508" s="41"/>
      <c r="C508" s="497"/>
      <c r="K508" s="142"/>
    </row>
    <row r="509" spans="2:11" ht="16" x14ac:dyDescent="0.2">
      <c r="B509" s="41"/>
      <c r="C509" s="497"/>
      <c r="K509" s="142"/>
    </row>
    <row r="510" spans="2:11" ht="16" x14ac:dyDescent="0.2">
      <c r="B510" s="41"/>
      <c r="C510" s="497"/>
      <c r="K510" s="142"/>
    </row>
    <row r="511" spans="2:11" ht="16" x14ac:dyDescent="0.2">
      <c r="B511" s="41"/>
      <c r="C511" s="497"/>
      <c r="K511" s="142"/>
    </row>
    <row r="512" spans="2:11" ht="16" x14ac:dyDescent="0.2">
      <c r="B512" s="41"/>
      <c r="C512" s="497"/>
      <c r="K512" s="142"/>
    </row>
    <row r="513" spans="2:11" ht="16" x14ac:dyDescent="0.2">
      <c r="B513" s="41"/>
      <c r="C513" s="497"/>
      <c r="K513" s="142"/>
    </row>
    <row r="514" spans="2:11" ht="16" x14ac:dyDescent="0.2">
      <c r="B514" s="41"/>
      <c r="C514" s="497"/>
      <c r="K514" s="142"/>
    </row>
    <row r="515" spans="2:11" ht="16" x14ac:dyDescent="0.2">
      <c r="B515" s="41"/>
      <c r="C515" s="497"/>
      <c r="K515" s="142"/>
    </row>
    <row r="516" spans="2:11" ht="16" x14ac:dyDescent="0.2">
      <c r="B516" s="41"/>
      <c r="C516" s="497"/>
      <c r="K516" s="142"/>
    </row>
    <row r="517" spans="2:11" ht="16" x14ac:dyDescent="0.2">
      <c r="B517" s="41"/>
      <c r="C517" s="497"/>
      <c r="K517" s="142"/>
    </row>
    <row r="518" spans="2:11" ht="16" x14ac:dyDescent="0.2">
      <c r="B518" s="41"/>
      <c r="C518" s="497"/>
      <c r="K518" s="142"/>
    </row>
    <row r="519" spans="2:11" ht="16" x14ac:dyDescent="0.2">
      <c r="B519" s="41"/>
      <c r="C519" s="497"/>
      <c r="K519" s="142"/>
    </row>
    <row r="520" spans="2:11" ht="16" x14ac:dyDescent="0.2">
      <c r="B520" s="41"/>
      <c r="C520" s="497"/>
      <c r="K520" s="142"/>
    </row>
    <row r="521" spans="2:11" ht="16" x14ac:dyDescent="0.2">
      <c r="B521" s="41"/>
      <c r="C521" s="497"/>
      <c r="K521" s="142"/>
    </row>
    <row r="522" spans="2:11" ht="16" x14ac:dyDescent="0.2">
      <c r="B522" s="41"/>
      <c r="C522" s="497"/>
      <c r="K522" s="142"/>
    </row>
    <row r="523" spans="2:11" ht="16" x14ac:dyDescent="0.2">
      <c r="B523" s="41"/>
      <c r="C523" s="497"/>
      <c r="K523" s="142"/>
    </row>
    <row r="524" spans="2:11" ht="16" x14ac:dyDescent="0.2">
      <c r="B524" s="41"/>
      <c r="C524" s="497"/>
      <c r="K524" s="142"/>
    </row>
    <row r="525" spans="2:11" ht="16" x14ac:dyDescent="0.2">
      <c r="B525" s="41"/>
      <c r="C525" s="497"/>
      <c r="K525" s="142"/>
    </row>
    <row r="526" spans="2:11" ht="16" x14ac:dyDescent="0.2">
      <c r="B526" s="41"/>
      <c r="C526" s="497"/>
      <c r="K526" s="142"/>
    </row>
    <row r="527" spans="2:11" ht="16" x14ac:dyDescent="0.2">
      <c r="B527" s="41"/>
      <c r="C527" s="497"/>
      <c r="K527" s="142"/>
    </row>
    <row r="528" spans="2:11" ht="16" x14ac:dyDescent="0.2">
      <c r="B528" s="41"/>
      <c r="C528" s="497"/>
      <c r="K528" s="142"/>
    </row>
    <row r="529" spans="2:11" ht="16" x14ac:dyDescent="0.2">
      <c r="B529" s="41"/>
      <c r="C529" s="497"/>
      <c r="K529" s="142"/>
    </row>
    <row r="530" spans="2:11" ht="16" x14ac:dyDescent="0.2">
      <c r="B530" s="41"/>
      <c r="C530" s="497"/>
      <c r="K530" s="142"/>
    </row>
    <row r="531" spans="2:11" ht="16" x14ac:dyDescent="0.2">
      <c r="B531" s="41"/>
      <c r="C531" s="497"/>
      <c r="K531" s="142"/>
    </row>
    <row r="532" spans="2:11" ht="16" x14ac:dyDescent="0.2">
      <c r="B532" s="41"/>
      <c r="C532" s="497"/>
      <c r="K532" s="142"/>
    </row>
    <row r="533" spans="2:11" ht="16" x14ac:dyDescent="0.2">
      <c r="B533" s="41"/>
      <c r="C533" s="497"/>
      <c r="K533" s="142"/>
    </row>
    <row r="534" spans="2:11" ht="16" x14ac:dyDescent="0.2">
      <c r="B534" s="41"/>
      <c r="C534" s="497"/>
      <c r="K534" s="142"/>
    </row>
    <row r="535" spans="2:11" ht="16" x14ac:dyDescent="0.2">
      <c r="B535" s="41"/>
      <c r="C535" s="497"/>
      <c r="K535" s="142"/>
    </row>
    <row r="536" spans="2:11" ht="16" x14ac:dyDescent="0.2">
      <c r="B536" s="41"/>
      <c r="C536" s="497"/>
      <c r="K536" s="142"/>
    </row>
    <row r="537" spans="2:11" ht="16" x14ac:dyDescent="0.2">
      <c r="B537" s="41"/>
      <c r="C537" s="497"/>
      <c r="K537" s="142"/>
    </row>
    <row r="538" spans="2:11" ht="16" x14ac:dyDescent="0.2">
      <c r="B538" s="41"/>
      <c r="C538" s="497"/>
      <c r="K538" s="142"/>
    </row>
    <row r="539" spans="2:11" ht="16" x14ac:dyDescent="0.2">
      <c r="B539" s="41"/>
      <c r="C539" s="497"/>
      <c r="K539" s="142"/>
    </row>
    <row r="540" spans="2:11" ht="16" x14ac:dyDescent="0.2">
      <c r="B540" s="41"/>
      <c r="C540" s="497"/>
      <c r="K540" s="142"/>
    </row>
    <row r="541" spans="2:11" ht="16" x14ac:dyDescent="0.2">
      <c r="B541" s="41"/>
      <c r="C541" s="497"/>
      <c r="K541" s="142"/>
    </row>
    <row r="542" spans="2:11" ht="16" x14ac:dyDescent="0.2">
      <c r="B542" s="41"/>
      <c r="C542" s="497"/>
      <c r="K542" s="142"/>
    </row>
    <row r="543" spans="2:11" ht="16" x14ac:dyDescent="0.2">
      <c r="B543" s="41"/>
      <c r="C543" s="497"/>
      <c r="K543" s="142"/>
    </row>
    <row r="544" spans="2:11" ht="16" x14ac:dyDescent="0.2">
      <c r="B544" s="41"/>
      <c r="C544" s="497"/>
      <c r="K544" s="142"/>
    </row>
    <row r="545" spans="2:11" ht="16" x14ac:dyDescent="0.2">
      <c r="B545" s="41"/>
      <c r="C545" s="497"/>
      <c r="K545" s="142"/>
    </row>
    <row r="546" spans="2:11" ht="16" x14ac:dyDescent="0.2">
      <c r="B546" s="41"/>
      <c r="C546" s="497"/>
      <c r="K546" s="142"/>
    </row>
    <row r="547" spans="2:11" ht="16" x14ac:dyDescent="0.2">
      <c r="B547" s="41"/>
      <c r="C547" s="497"/>
      <c r="K547" s="142"/>
    </row>
    <row r="548" spans="2:11" ht="16" x14ac:dyDescent="0.2">
      <c r="B548" s="41"/>
      <c r="C548" s="497"/>
      <c r="K548" s="142"/>
    </row>
    <row r="549" spans="2:11" ht="16" x14ac:dyDescent="0.2">
      <c r="B549" s="41"/>
      <c r="C549" s="497"/>
      <c r="K549" s="142"/>
    </row>
    <row r="550" spans="2:11" ht="16" x14ac:dyDescent="0.2">
      <c r="B550" s="41"/>
      <c r="C550" s="497"/>
      <c r="K550" s="142"/>
    </row>
    <row r="551" spans="2:11" ht="16" x14ac:dyDescent="0.2">
      <c r="B551" s="41"/>
      <c r="C551" s="497"/>
      <c r="K551" s="142"/>
    </row>
    <row r="552" spans="2:11" ht="16" x14ac:dyDescent="0.2">
      <c r="B552" s="41"/>
      <c r="C552" s="497"/>
      <c r="K552" s="142"/>
    </row>
    <row r="553" spans="2:11" ht="16" x14ac:dyDescent="0.2">
      <c r="B553" s="41"/>
      <c r="C553" s="497"/>
      <c r="K553" s="142"/>
    </row>
    <row r="554" spans="2:11" ht="16" x14ac:dyDescent="0.2">
      <c r="B554" s="41"/>
      <c r="C554" s="497"/>
      <c r="K554" s="142"/>
    </row>
    <row r="555" spans="2:11" ht="16" x14ac:dyDescent="0.2">
      <c r="B555" s="41"/>
      <c r="C555" s="497"/>
      <c r="K555" s="142"/>
    </row>
    <row r="556" spans="2:11" ht="16" x14ac:dyDescent="0.2">
      <c r="B556" s="41"/>
      <c r="C556" s="497"/>
      <c r="K556" s="142"/>
    </row>
    <row r="557" spans="2:11" ht="16" x14ac:dyDescent="0.2">
      <c r="B557" s="41"/>
      <c r="C557" s="497"/>
      <c r="K557" s="142"/>
    </row>
    <row r="558" spans="2:11" ht="16" x14ac:dyDescent="0.2">
      <c r="B558" s="41"/>
      <c r="C558" s="497"/>
      <c r="K558" s="142"/>
    </row>
    <row r="559" spans="2:11" ht="16" x14ac:dyDescent="0.2">
      <c r="B559" s="41"/>
      <c r="C559" s="497"/>
      <c r="K559" s="142"/>
    </row>
    <row r="560" spans="2:11" ht="16" x14ac:dyDescent="0.2">
      <c r="B560" s="41"/>
      <c r="C560" s="497"/>
      <c r="K560" s="142"/>
    </row>
    <row r="561" spans="2:11" ht="16" x14ac:dyDescent="0.2">
      <c r="B561" s="41"/>
      <c r="C561" s="497"/>
      <c r="K561" s="142"/>
    </row>
    <row r="562" spans="2:11" ht="16" x14ac:dyDescent="0.2">
      <c r="B562" s="41"/>
      <c r="C562" s="497"/>
      <c r="K562" s="142"/>
    </row>
    <row r="563" spans="2:11" ht="16" x14ac:dyDescent="0.2">
      <c r="B563" s="41"/>
      <c r="C563" s="497"/>
      <c r="K563" s="142"/>
    </row>
    <row r="564" spans="2:11" ht="16" x14ac:dyDescent="0.2">
      <c r="B564" s="41"/>
      <c r="C564" s="497"/>
      <c r="K564" s="142"/>
    </row>
    <row r="565" spans="2:11" ht="16" x14ac:dyDescent="0.2">
      <c r="B565" s="41"/>
      <c r="C565" s="497"/>
      <c r="K565" s="142"/>
    </row>
    <row r="566" spans="2:11" ht="16" x14ac:dyDescent="0.2">
      <c r="B566" s="41"/>
      <c r="C566" s="497"/>
      <c r="K566" s="142"/>
    </row>
    <row r="567" spans="2:11" ht="16" x14ac:dyDescent="0.2">
      <c r="B567" s="41"/>
      <c r="C567" s="497"/>
      <c r="K567" s="142"/>
    </row>
    <row r="568" spans="2:11" ht="16" x14ac:dyDescent="0.2">
      <c r="B568" s="41"/>
      <c r="C568" s="497"/>
      <c r="K568" s="142"/>
    </row>
    <row r="569" spans="2:11" ht="16" x14ac:dyDescent="0.2">
      <c r="B569" s="41"/>
      <c r="C569" s="497"/>
      <c r="K569" s="142"/>
    </row>
    <row r="570" spans="2:11" ht="16" x14ac:dyDescent="0.2">
      <c r="B570" s="41"/>
      <c r="C570" s="497"/>
      <c r="K570" s="142"/>
    </row>
    <row r="571" spans="2:11" ht="16" x14ac:dyDescent="0.2">
      <c r="B571" s="41"/>
      <c r="C571" s="497"/>
      <c r="K571" s="142"/>
    </row>
    <row r="572" spans="2:11" ht="16" x14ac:dyDescent="0.2">
      <c r="B572" s="41"/>
      <c r="C572" s="497"/>
      <c r="K572" s="142"/>
    </row>
    <row r="573" spans="2:11" ht="16" x14ac:dyDescent="0.2">
      <c r="B573" s="41"/>
      <c r="C573" s="497"/>
      <c r="K573" s="142"/>
    </row>
    <row r="574" spans="2:11" ht="16" x14ac:dyDescent="0.2">
      <c r="B574" s="41"/>
      <c r="C574" s="497"/>
      <c r="K574" s="142"/>
    </row>
    <row r="575" spans="2:11" ht="16" x14ac:dyDescent="0.2">
      <c r="B575" s="41"/>
      <c r="C575" s="497"/>
      <c r="K575" s="142"/>
    </row>
    <row r="576" spans="2:11" ht="16" x14ac:dyDescent="0.2">
      <c r="B576" s="41"/>
      <c r="C576" s="497"/>
      <c r="K576" s="142"/>
    </row>
    <row r="577" spans="2:11" ht="16" x14ac:dyDescent="0.2">
      <c r="B577" s="41"/>
      <c r="C577" s="497"/>
      <c r="K577" s="142"/>
    </row>
    <row r="578" spans="2:11" ht="16" x14ac:dyDescent="0.2">
      <c r="B578" s="41"/>
      <c r="C578" s="497"/>
      <c r="K578" s="142"/>
    </row>
    <row r="579" spans="2:11" ht="16" x14ac:dyDescent="0.2">
      <c r="B579" s="41"/>
      <c r="C579" s="497"/>
      <c r="K579" s="142"/>
    </row>
    <row r="580" spans="2:11" ht="16" x14ac:dyDescent="0.2">
      <c r="B580" s="41"/>
      <c r="C580" s="497"/>
      <c r="K580" s="142"/>
    </row>
    <row r="581" spans="2:11" ht="16" x14ac:dyDescent="0.2">
      <c r="B581" s="41"/>
      <c r="C581" s="497"/>
      <c r="K581" s="142"/>
    </row>
    <row r="582" spans="2:11" ht="16" x14ac:dyDescent="0.2">
      <c r="B582" s="41"/>
      <c r="C582" s="497"/>
      <c r="K582" s="142"/>
    </row>
    <row r="583" spans="2:11" ht="16" x14ac:dyDescent="0.2">
      <c r="B583" s="41"/>
      <c r="C583" s="497"/>
      <c r="K583" s="142"/>
    </row>
    <row r="584" spans="2:11" ht="16" x14ac:dyDescent="0.2">
      <c r="B584" s="41"/>
      <c r="C584" s="497"/>
      <c r="K584" s="142"/>
    </row>
    <row r="585" spans="2:11" ht="16" x14ac:dyDescent="0.2">
      <c r="B585" s="41"/>
      <c r="C585" s="497"/>
      <c r="K585" s="142"/>
    </row>
    <row r="586" spans="2:11" ht="16" x14ac:dyDescent="0.2">
      <c r="B586" s="41"/>
      <c r="C586" s="497"/>
      <c r="K586" s="142"/>
    </row>
    <row r="587" spans="2:11" ht="16" x14ac:dyDescent="0.2">
      <c r="B587" s="41"/>
      <c r="C587" s="497"/>
      <c r="K587" s="142"/>
    </row>
    <row r="588" spans="2:11" ht="16" x14ac:dyDescent="0.2">
      <c r="B588" s="41"/>
      <c r="C588" s="497"/>
      <c r="K588" s="142"/>
    </row>
    <row r="589" spans="2:11" ht="16" x14ac:dyDescent="0.2">
      <c r="B589" s="41"/>
      <c r="C589" s="497"/>
      <c r="K589" s="142"/>
    </row>
    <row r="590" spans="2:11" ht="16" x14ac:dyDescent="0.2">
      <c r="B590" s="41"/>
      <c r="C590" s="497"/>
      <c r="K590" s="142"/>
    </row>
    <row r="591" spans="2:11" ht="16" x14ac:dyDescent="0.2">
      <c r="B591" s="41"/>
      <c r="C591" s="497"/>
      <c r="K591" s="142"/>
    </row>
    <row r="592" spans="2:11" ht="16" x14ac:dyDescent="0.2">
      <c r="B592" s="41"/>
      <c r="C592" s="497"/>
      <c r="K592" s="142"/>
    </row>
    <row r="593" spans="2:11" ht="16" x14ac:dyDescent="0.2">
      <c r="B593" s="41"/>
      <c r="C593" s="497"/>
      <c r="K593" s="142"/>
    </row>
    <row r="594" spans="2:11" ht="16" x14ac:dyDescent="0.2">
      <c r="B594" s="41"/>
      <c r="C594" s="497"/>
      <c r="K594" s="142"/>
    </row>
    <row r="595" spans="2:11" ht="16" x14ac:dyDescent="0.2">
      <c r="B595" s="41"/>
      <c r="C595" s="497"/>
      <c r="K595" s="142"/>
    </row>
    <row r="596" spans="2:11" ht="16" x14ac:dyDescent="0.2">
      <c r="B596" s="41"/>
      <c r="C596" s="497"/>
      <c r="K596" s="142"/>
    </row>
    <row r="597" spans="2:11" ht="16" x14ac:dyDescent="0.2">
      <c r="B597" s="41"/>
      <c r="C597" s="497"/>
      <c r="K597" s="142"/>
    </row>
    <row r="598" spans="2:11" ht="16" x14ac:dyDescent="0.2">
      <c r="B598" s="41"/>
      <c r="C598" s="497"/>
      <c r="K598" s="142"/>
    </row>
    <row r="599" spans="2:11" ht="16" x14ac:dyDescent="0.2">
      <c r="B599" s="41"/>
      <c r="C599" s="497"/>
      <c r="K599" s="142"/>
    </row>
    <row r="600" spans="2:11" ht="16" x14ac:dyDescent="0.2">
      <c r="B600" s="41"/>
      <c r="C600" s="497"/>
      <c r="K600" s="142"/>
    </row>
    <row r="601" spans="2:11" ht="16" x14ac:dyDescent="0.2">
      <c r="B601" s="41"/>
      <c r="C601" s="497"/>
      <c r="K601" s="142"/>
    </row>
    <row r="602" spans="2:11" ht="16" x14ac:dyDescent="0.2">
      <c r="B602" s="41"/>
      <c r="C602" s="497"/>
      <c r="K602" s="142"/>
    </row>
    <row r="603" spans="2:11" ht="16" x14ac:dyDescent="0.2">
      <c r="B603" s="41"/>
      <c r="C603" s="497"/>
      <c r="K603" s="142"/>
    </row>
    <row r="604" spans="2:11" ht="16" x14ac:dyDescent="0.2">
      <c r="B604" s="41"/>
      <c r="C604" s="497"/>
      <c r="K604" s="142"/>
    </row>
    <row r="605" spans="2:11" ht="16" x14ac:dyDescent="0.2">
      <c r="B605" s="41"/>
      <c r="C605" s="497"/>
      <c r="K605" s="142"/>
    </row>
    <row r="606" spans="2:11" ht="16" x14ac:dyDescent="0.2">
      <c r="B606" s="41"/>
      <c r="C606" s="497"/>
      <c r="K606" s="142"/>
    </row>
    <row r="607" spans="2:11" ht="16" x14ac:dyDescent="0.2">
      <c r="B607" s="41"/>
      <c r="C607" s="497"/>
      <c r="K607" s="142"/>
    </row>
    <row r="608" spans="2:11" ht="16" x14ac:dyDescent="0.2">
      <c r="B608" s="41"/>
      <c r="C608" s="497"/>
      <c r="K608" s="142"/>
    </row>
    <row r="609" spans="2:11" ht="16" x14ac:dyDescent="0.2">
      <c r="B609" s="41"/>
      <c r="C609" s="497"/>
      <c r="K609" s="142"/>
    </row>
    <row r="610" spans="2:11" ht="16" x14ac:dyDescent="0.2">
      <c r="B610" s="41"/>
      <c r="C610" s="497"/>
      <c r="K610" s="142"/>
    </row>
    <row r="611" spans="2:11" ht="16" x14ac:dyDescent="0.2">
      <c r="B611" s="41"/>
      <c r="C611" s="497"/>
      <c r="K611" s="142"/>
    </row>
    <row r="612" spans="2:11" ht="16" x14ac:dyDescent="0.2">
      <c r="B612" s="41"/>
      <c r="C612" s="497"/>
      <c r="K612" s="142"/>
    </row>
    <row r="613" spans="2:11" ht="16" x14ac:dyDescent="0.2">
      <c r="B613" s="41"/>
      <c r="C613" s="497"/>
      <c r="K613" s="142"/>
    </row>
    <row r="614" spans="2:11" ht="16" x14ac:dyDescent="0.2">
      <c r="B614" s="41"/>
      <c r="C614" s="497"/>
      <c r="K614" s="142"/>
    </row>
    <row r="615" spans="2:11" ht="16" x14ac:dyDescent="0.2">
      <c r="B615" s="41"/>
      <c r="C615" s="497"/>
      <c r="K615" s="142"/>
    </row>
    <row r="616" spans="2:11" ht="16" x14ac:dyDescent="0.2">
      <c r="B616" s="41"/>
      <c r="C616" s="497"/>
      <c r="K616" s="142"/>
    </row>
    <row r="617" spans="2:11" ht="16" x14ac:dyDescent="0.2">
      <c r="B617" s="41"/>
      <c r="C617" s="497"/>
      <c r="K617" s="142"/>
    </row>
    <row r="618" spans="2:11" ht="16" x14ac:dyDescent="0.2">
      <c r="B618" s="41"/>
      <c r="C618" s="497"/>
      <c r="K618" s="142"/>
    </row>
    <row r="619" spans="2:11" ht="16" x14ac:dyDescent="0.2">
      <c r="B619" s="41"/>
      <c r="C619" s="497"/>
      <c r="K619" s="142"/>
    </row>
    <row r="620" spans="2:11" ht="16" x14ac:dyDescent="0.2">
      <c r="B620" s="41"/>
      <c r="C620" s="497"/>
      <c r="K620" s="142"/>
    </row>
    <row r="621" spans="2:11" ht="16" x14ac:dyDescent="0.2">
      <c r="B621" s="41"/>
      <c r="C621" s="497"/>
      <c r="K621" s="142"/>
    </row>
    <row r="622" spans="2:11" ht="16" x14ac:dyDescent="0.2">
      <c r="B622" s="41"/>
      <c r="C622" s="497"/>
      <c r="K622" s="142"/>
    </row>
    <row r="623" spans="2:11" ht="16" x14ac:dyDescent="0.2">
      <c r="B623" s="41"/>
      <c r="C623" s="497"/>
      <c r="K623" s="142"/>
    </row>
    <row r="624" spans="2:11" ht="16" x14ac:dyDescent="0.2">
      <c r="B624" s="41"/>
      <c r="C624" s="497"/>
      <c r="K624" s="142"/>
    </row>
    <row r="625" spans="2:11" ht="16" x14ac:dyDescent="0.2">
      <c r="B625" s="41"/>
      <c r="C625" s="497"/>
      <c r="K625" s="142"/>
    </row>
    <row r="626" spans="2:11" ht="16" x14ac:dyDescent="0.2">
      <c r="B626" s="41"/>
      <c r="C626" s="497"/>
      <c r="K626" s="142"/>
    </row>
    <row r="627" spans="2:11" ht="16" x14ac:dyDescent="0.2">
      <c r="B627" s="41"/>
      <c r="C627" s="497"/>
      <c r="K627" s="142"/>
    </row>
    <row r="628" spans="2:11" ht="16" x14ac:dyDescent="0.2">
      <c r="B628" s="41"/>
      <c r="C628" s="497"/>
      <c r="K628" s="142"/>
    </row>
    <row r="629" spans="2:11" ht="16" x14ac:dyDescent="0.2">
      <c r="B629" s="41"/>
      <c r="C629" s="497"/>
      <c r="K629" s="142"/>
    </row>
    <row r="630" spans="2:11" ht="16" x14ac:dyDescent="0.2">
      <c r="B630" s="41"/>
      <c r="C630" s="497"/>
      <c r="K630" s="142"/>
    </row>
    <row r="631" spans="2:11" ht="16" x14ac:dyDescent="0.2">
      <c r="B631" s="41"/>
      <c r="C631" s="497"/>
      <c r="K631" s="142"/>
    </row>
    <row r="632" spans="2:11" ht="16" x14ac:dyDescent="0.2">
      <c r="B632" s="41"/>
      <c r="C632" s="497"/>
      <c r="K632" s="142"/>
    </row>
    <row r="633" spans="2:11" ht="16" x14ac:dyDescent="0.2">
      <c r="B633" s="41"/>
      <c r="C633" s="497"/>
      <c r="K633" s="142"/>
    </row>
    <row r="634" spans="2:11" ht="16" x14ac:dyDescent="0.2">
      <c r="B634" s="41"/>
      <c r="C634" s="497"/>
      <c r="K634" s="142"/>
    </row>
    <row r="635" spans="2:11" ht="16" x14ac:dyDescent="0.2">
      <c r="B635" s="41"/>
      <c r="C635" s="497"/>
      <c r="K635" s="142"/>
    </row>
    <row r="636" spans="2:11" ht="16" x14ac:dyDescent="0.2">
      <c r="B636" s="41"/>
      <c r="C636" s="497"/>
      <c r="K636" s="142"/>
    </row>
    <row r="637" spans="2:11" ht="16" x14ac:dyDescent="0.2">
      <c r="B637" s="41"/>
      <c r="C637" s="497"/>
      <c r="K637" s="142"/>
    </row>
    <row r="638" spans="2:11" ht="16" x14ac:dyDescent="0.2">
      <c r="B638" s="41"/>
      <c r="C638" s="497"/>
      <c r="K638" s="142"/>
    </row>
    <row r="639" spans="2:11" ht="16" x14ac:dyDescent="0.2">
      <c r="B639" s="41"/>
      <c r="C639" s="497"/>
      <c r="K639" s="142"/>
    </row>
    <row r="640" spans="2:11" ht="16" x14ac:dyDescent="0.2">
      <c r="B640" s="41"/>
      <c r="C640" s="497"/>
      <c r="K640" s="142"/>
    </row>
    <row r="641" spans="2:3" ht="16" x14ac:dyDescent="0.2">
      <c r="B641" s="41"/>
      <c r="C641" s="497"/>
    </row>
    <row r="642" spans="2:3" ht="16" x14ac:dyDescent="0.2">
      <c r="B642" s="41"/>
      <c r="C642" s="497"/>
    </row>
    <row r="643" spans="2:3" ht="16" x14ac:dyDescent="0.2">
      <c r="B643" s="41"/>
      <c r="C643" s="497"/>
    </row>
    <row r="644" spans="2:3" ht="16" x14ac:dyDescent="0.2">
      <c r="B644" s="41"/>
      <c r="C644" s="497"/>
    </row>
    <row r="645" spans="2:3" ht="16" x14ac:dyDescent="0.2">
      <c r="B645" s="41"/>
      <c r="C645" s="497"/>
    </row>
    <row r="646" spans="2:3" ht="16" x14ac:dyDescent="0.2">
      <c r="B646" s="41"/>
      <c r="C646" s="497"/>
    </row>
    <row r="647" spans="2:3" ht="16" x14ac:dyDescent="0.2">
      <c r="B647" s="41"/>
      <c r="C647" s="497"/>
    </row>
    <row r="648" spans="2:3" ht="16" x14ac:dyDescent="0.2">
      <c r="B648" s="41"/>
      <c r="C648" s="497"/>
    </row>
    <row r="649" spans="2:3" ht="16" x14ac:dyDescent="0.2">
      <c r="B649" s="41"/>
      <c r="C649" s="497"/>
    </row>
    <row r="650" spans="2:3" ht="16" x14ac:dyDescent="0.2">
      <c r="B650" s="41"/>
      <c r="C650" s="497"/>
    </row>
    <row r="651" spans="2:3" ht="16" x14ac:dyDescent="0.2">
      <c r="B651" s="41"/>
      <c r="C651" s="497"/>
    </row>
    <row r="652" spans="2:3" ht="16" x14ac:dyDescent="0.2">
      <c r="B652" s="41"/>
      <c r="C652" s="497"/>
    </row>
    <row r="653" spans="2:3" ht="16" x14ac:dyDescent="0.2">
      <c r="B653" s="41"/>
      <c r="C653" s="497"/>
    </row>
    <row r="654" spans="2:3" ht="16" x14ac:dyDescent="0.2">
      <c r="B654" s="41"/>
      <c r="C654" s="497"/>
    </row>
    <row r="655" spans="2:3" ht="16" x14ac:dyDescent="0.2">
      <c r="B655" s="41"/>
      <c r="C655" s="497"/>
    </row>
    <row r="656" spans="2:3" ht="16" x14ac:dyDescent="0.2">
      <c r="B656" s="41"/>
      <c r="C656" s="497"/>
    </row>
    <row r="657" spans="2:3" ht="16" x14ac:dyDescent="0.2">
      <c r="B657" s="41"/>
      <c r="C657" s="497"/>
    </row>
    <row r="658" spans="2:3" ht="16" x14ac:dyDescent="0.2">
      <c r="B658" s="41"/>
      <c r="C658" s="497"/>
    </row>
    <row r="659" spans="2:3" ht="16" x14ac:dyDescent="0.2">
      <c r="B659" s="41"/>
      <c r="C659" s="497"/>
    </row>
    <row r="660" spans="2:3" ht="16" x14ac:dyDescent="0.2">
      <c r="B660" s="41"/>
      <c r="C660" s="497"/>
    </row>
    <row r="661" spans="2:3" ht="16" x14ac:dyDescent="0.2">
      <c r="B661" s="41"/>
      <c r="C661" s="497"/>
    </row>
    <row r="662" spans="2:3" ht="16" x14ac:dyDescent="0.2">
      <c r="B662" s="41"/>
      <c r="C662" s="497"/>
    </row>
    <row r="663" spans="2:3" ht="16" x14ac:dyDescent="0.2">
      <c r="B663" s="41"/>
      <c r="C663" s="497"/>
    </row>
    <row r="664" spans="2:3" ht="16" x14ac:dyDescent="0.2">
      <c r="B664" s="41"/>
      <c r="C664" s="497"/>
    </row>
    <row r="665" spans="2:3" ht="16" x14ac:dyDescent="0.2">
      <c r="B665" s="41"/>
      <c r="C665" s="497"/>
    </row>
    <row r="666" spans="2:3" ht="16" x14ac:dyDescent="0.2">
      <c r="B666" s="41"/>
      <c r="C666" s="497"/>
    </row>
    <row r="667" spans="2:3" ht="16" x14ac:dyDescent="0.2">
      <c r="B667" s="41"/>
      <c r="C667" s="497"/>
    </row>
    <row r="668" spans="2:3" ht="16" x14ac:dyDescent="0.2">
      <c r="B668" s="41"/>
      <c r="C668" s="497"/>
    </row>
    <row r="669" spans="2:3" ht="16" x14ac:dyDescent="0.2">
      <c r="B669" s="41"/>
      <c r="C669" s="497"/>
    </row>
    <row r="670" spans="2:3" ht="16" x14ac:dyDescent="0.2">
      <c r="B670" s="41"/>
      <c r="C670" s="497"/>
    </row>
    <row r="671" spans="2:3" ht="16" x14ac:dyDescent="0.2">
      <c r="B671" s="41"/>
      <c r="C671" s="497"/>
    </row>
    <row r="672" spans="2:3" ht="16" x14ac:dyDescent="0.2">
      <c r="B672" s="41"/>
      <c r="C672" s="497"/>
    </row>
    <row r="673" spans="2:3" ht="16" x14ac:dyDescent="0.2">
      <c r="B673" s="41"/>
      <c r="C673" s="497"/>
    </row>
    <row r="674" spans="2:3" ht="16" x14ac:dyDescent="0.2">
      <c r="B674" s="41"/>
      <c r="C674" s="497"/>
    </row>
    <row r="675" spans="2:3" ht="16" x14ac:dyDescent="0.2">
      <c r="B675" s="41"/>
      <c r="C675" s="497"/>
    </row>
    <row r="676" spans="2:3" ht="16" x14ac:dyDescent="0.2">
      <c r="B676" s="41"/>
      <c r="C676" s="497"/>
    </row>
    <row r="677" spans="2:3" ht="16" x14ac:dyDescent="0.2">
      <c r="B677" s="41"/>
      <c r="C677" s="497"/>
    </row>
    <row r="678" spans="2:3" ht="16" x14ac:dyDescent="0.2">
      <c r="B678" s="41"/>
      <c r="C678" s="497"/>
    </row>
    <row r="679" spans="2:3" ht="16" x14ac:dyDescent="0.2">
      <c r="B679" s="41"/>
      <c r="C679" s="497"/>
    </row>
    <row r="680" spans="2:3" ht="16" x14ac:dyDescent="0.2">
      <c r="B680" s="41"/>
      <c r="C680" s="497"/>
    </row>
    <row r="681" spans="2:3" ht="16" x14ac:dyDescent="0.2">
      <c r="B681" s="41"/>
      <c r="C681" s="497"/>
    </row>
    <row r="682" spans="2:3" ht="16" x14ac:dyDescent="0.2">
      <c r="B682" s="41"/>
      <c r="C682" s="497"/>
    </row>
    <row r="683" spans="2:3" ht="16" x14ac:dyDescent="0.2">
      <c r="B683" s="41"/>
      <c r="C683" s="497"/>
    </row>
    <row r="684" spans="2:3" ht="16" x14ac:dyDescent="0.2">
      <c r="B684" s="41"/>
      <c r="C684" s="497"/>
    </row>
    <row r="685" spans="2:3" ht="16" x14ac:dyDescent="0.2">
      <c r="B685" s="41"/>
      <c r="C685" s="497"/>
    </row>
    <row r="686" spans="2:3" ht="16" x14ac:dyDescent="0.2">
      <c r="B686" s="41"/>
      <c r="C686" s="497"/>
    </row>
    <row r="687" spans="2:3" ht="16" x14ac:dyDescent="0.2">
      <c r="B687" s="41"/>
      <c r="C687" s="497"/>
    </row>
    <row r="688" spans="2:3" ht="16" x14ac:dyDescent="0.2">
      <c r="B688" s="41"/>
      <c r="C688" s="497"/>
    </row>
    <row r="689" spans="2:3" ht="16" x14ac:dyDescent="0.2">
      <c r="B689" s="41"/>
      <c r="C689" s="497"/>
    </row>
    <row r="690" spans="2:3" ht="16" x14ac:dyDescent="0.2">
      <c r="B690" s="41"/>
      <c r="C690" s="497"/>
    </row>
    <row r="691" spans="2:3" ht="16" x14ac:dyDescent="0.2">
      <c r="B691" s="41"/>
      <c r="C691" s="497"/>
    </row>
    <row r="692" spans="2:3" ht="16" x14ac:dyDescent="0.2">
      <c r="B692" s="41"/>
      <c r="C692" s="497"/>
    </row>
    <row r="693" spans="2:3" ht="16" x14ac:dyDescent="0.2">
      <c r="B693" s="41"/>
      <c r="C693" s="497"/>
    </row>
    <row r="694" spans="2:3" ht="16" x14ac:dyDescent="0.2">
      <c r="B694" s="41"/>
      <c r="C694" s="497"/>
    </row>
    <row r="695" spans="2:3" ht="16" x14ac:dyDescent="0.2">
      <c r="B695" s="41"/>
      <c r="C695" s="497"/>
    </row>
    <row r="696" spans="2:3" ht="16" x14ac:dyDescent="0.2">
      <c r="B696" s="41"/>
      <c r="C696" s="497"/>
    </row>
    <row r="697" spans="2:3" ht="16" x14ac:dyDescent="0.2">
      <c r="B697" s="41"/>
      <c r="C697" s="497"/>
    </row>
    <row r="698" spans="2:3" ht="16" x14ac:dyDescent="0.2">
      <c r="B698" s="41"/>
      <c r="C698" s="497"/>
    </row>
    <row r="699" spans="2:3" ht="16" x14ac:dyDescent="0.2">
      <c r="B699" s="41"/>
      <c r="C699" s="497"/>
    </row>
    <row r="700" spans="2:3" ht="16" x14ac:dyDescent="0.2">
      <c r="B700" s="41"/>
      <c r="C700" s="497"/>
    </row>
    <row r="701" spans="2:3" ht="16" x14ac:dyDescent="0.2">
      <c r="B701" s="41"/>
      <c r="C701" s="497"/>
    </row>
    <row r="702" spans="2:3" ht="16" x14ac:dyDescent="0.2">
      <c r="B702" s="41"/>
      <c r="C702" s="497"/>
    </row>
    <row r="703" spans="2:3" ht="16" x14ac:dyDescent="0.2">
      <c r="B703" s="41"/>
      <c r="C703" s="497"/>
    </row>
    <row r="704" spans="2:3" ht="16" x14ac:dyDescent="0.2">
      <c r="B704" s="41"/>
      <c r="C704" s="497"/>
    </row>
    <row r="705" spans="2:3" ht="16" x14ac:dyDescent="0.2">
      <c r="B705" s="41"/>
      <c r="C705" s="497"/>
    </row>
    <row r="706" spans="2:3" ht="16" x14ac:dyDescent="0.2">
      <c r="B706" s="41"/>
      <c r="C706" s="497"/>
    </row>
    <row r="707" spans="2:3" ht="16" x14ac:dyDescent="0.2">
      <c r="B707" s="41"/>
      <c r="C707" s="497"/>
    </row>
    <row r="708" spans="2:3" ht="16" x14ac:dyDescent="0.2">
      <c r="B708" s="41"/>
      <c r="C708" s="497"/>
    </row>
    <row r="709" spans="2:3" ht="16" x14ac:dyDescent="0.2">
      <c r="B709" s="41"/>
      <c r="C709" s="497"/>
    </row>
    <row r="710" spans="2:3" ht="16" x14ac:dyDescent="0.2">
      <c r="B710" s="41"/>
      <c r="C710" s="497"/>
    </row>
    <row r="711" spans="2:3" ht="16" x14ac:dyDescent="0.2">
      <c r="B711" s="41"/>
      <c r="C711" s="497"/>
    </row>
    <row r="712" spans="2:3" ht="16" x14ac:dyDescent="0.2">
      <c r="B712" s="41"/>
      <c r="C712" s="497"/>
    </row>
    <row r="713" spans="2:3" ht="16" x14ac:dyDescent="0.2">
      <c r="B713" s="41"/>
      <c r="C713" s="497"/>
    </row>
    <row r="714" spans="2:3" ht="16" x14ac:dyDescent="0.2">
      <c r="B714" s="41"/>
      <c r="C714" s="497"/>
    </row>
    <row r="715" spans="2:3" ht="16" x14ac:dyDescent="0.2">
      <c r="B715" s="41"/>
      <c r="C715" s="497"/>
    </row>
    <row r="716" spans="2:3" ht="16" x14ac:dyDescent="0.2">
      <c r="B716" s="41"/>
      <c r="C716" s="497"/>
    </row>
    <row r="717" spans="2:3" ht="16" x14ac:dyDescent="0.2">
      <c r="B717" s="41"/>
      <c r="C717" s="497"/>
    </row>
    <row r="718" spans="2:3" ht="16" x14ac:dyDescent="0.2">
      <c r="B718" s="41"/>
      <c r="C718" s="497"/>
    </row>
    <row r="719" spans="2:3" ht="16" x14ac:dyDescent="0.2">
      <c r="B719" s="41"/>
      <c r="C719" s="497"/>
    </row>
    <row r="720" spans="2:3" ht="16" x14ac:dyDescent="0.2">
      <c r="B720" s="41"/>
      <c r="C720" s="497"/>
    </row>
    <row r="721" spans="2:3" ht="16" x14ac:dyDescent="0.2">
      <c r="B721" s="41"/>
      <c r="C721" s="497"/>
    </row>
    <row r="722" spans="2:3" ht="16" x14ac:dyDescent="0.2">
      <c r="B722" s="41"/>
      <c r="C722" s="497"/>
    </row>
    <row r="723" spans="2:3" ht="16" x14ac:dyDescent="0.2">
      <c r="B723" s="41"/>
      <c r="C723" s="497"/>
    </row>
    <row r="724" spans="2:3" ht="16" x14ac:dyDescent="0.2">
      <c r="B724" s="41"/>
      <c r="C724" s="497"/>
    </row>
    <row r="725" spans="2:3" ht="16" x14ac:dyDescent="0.2">
      <c r="B725" s="41"/>
      <c r="C725" s="497"/>
    </row>
    <row r="726" spans="2:3" ht="16" x14ac:dyDescent="0.2">
      <c r="B726" s="41"/>
      <c r="C726" s="497"/>
    </row>
    <row r="727" spans="2:3" ht="16" x14ac:dyDescent="0.2">
      <c r="B727" s="41"/>
      <c r="C727" s="497"/>
    </row>
    <row r="728" spans="2:3" ht="16" x14ac:dyDescent="0.2">
      <c r="B728" s="41"/>
      <c r="C728" s="497"/>
    </row>
    <row r="729" spans="2:3" ht="16" x14ac:dyDescent="0.2">
      <c r="B729" s="41"/>
      <c r="C729" s="497"/>
    </row>
    <row r="730" spans="2:3" ht="16" x14ac:dyDescent="0.2">
      <c r="B730" s="41"/>
      <c r="C730" s="497"/>
    </row>
    <row r="731" spans="2:3" ht="16" x14ac:dyDescent="0.2">
      <c r="B731" s="41"/>
      <c r="C731" s="497"/>
    </row>
    <row r="732" spans="2:3" ht="16" x14ac:dyDescent="0.2">
      <c r="B732" s="41"/>
      <c r="C732" s="497"/>
    </row>
    <row r="733" spans="2:3" ht="16" x14ac:dyDescent="0.2">
      <c r="B733" s="41"/>
      <c r="C733" s="497"/>
    </row>
    <row r="734" spans="2:3" ht="16" x14ac:dyDescent="0.2">
      <c r="B734" s="41"/>
      <c r="C734" s="497"/>
    </row>
    <row r="735" spans="2:3" ht="16" x14ac:dyDescent="0.2">
      <c r="B735" s="41"/>
      <c r="C735" s="497"/>
    </row>
    <row r="736" spans="2:3" ht="16" x14ac:dyDescent="0.2">
      <c r="B736" s="41"/>
      <c r="C736" s="497"/>
    </row>
    <row r="737" spans="2:3" ht="16" x14ac:dyDescent="0.2">
      <c r="B737" s="41"/>
      <c r="C737" s="497"/>
    </row>
    <row r="738" spans="2:3" ht="16" x14ac:dyDescent="0.2">
      <c r="B738" s="41"/>
      <c r="C738" s="497"/>
    </row>
    <row r="739" spans="2:3" ht="16" x14ac:dyDescent="0.2">
      <c r="B739" s="41"/>
      <c r="C739" s="497"/>
    </row>
    <row r="740" spans="2:3" ht="16" x14ac:dyDescent="0.2">
      <c r="B740" s="41"/>
      <c r="C740" s="497"/>
    </row>
    <row r="741" spans="2:3" ht="16" x14ac:dyDescent="0.2">
      <c r="B741" s="41"/>
      <c r="C741" s="497"/>
    </row>
    <row r="742" spans="2:3" ht="16" x14ac:dyDescent="0.2">
      <c r="B742" s="41"/>
      <c r="C742" s="497"/>
    </row>
    <row r="743" spans="2:3" ht="16" x14ac:dyDescent="0.2">
      <c r="B743" s="41"/>
      <c r="C743" s="497"/>
    </row>
    <row r="744" spans="2:3" ht="16" x14ac:dyDescent="0.2">
      <c r="B744" s="41"/>
      <c r="C744" s="497"/>
    </row>
    <row r="745" spans="2:3" ht="16" x14ac:dyDescent="0.2">
      <c r="B745" s="41"/>
      <c r="C745" s="497"/>
    </row>
    <row r="746" spans="2:3" ht="16" x14ac:dyDescent="0.2">
      <c r="B746" s="41"/>
      <c r="C746" s="497"/>
    </row>
    <row r="747" spans="2:3" ht="16" x14ac:dyDescent="0.2">
      <c r="B747" s="41"/>
      <c r="C747" s="497"/>
    </row>
    <row r="748" spans="2:3" ht="16" x14ac:dyDescent="0.2">
      <c r="B748" s="41"/>
      <c r="C748" s="497"/>
    </row>
    <row r="749" spans="2:3" ht="16" x14ac:dyDescent="0.2">
      <c r="B749" s="41"/>
      <c r="C749" s="497"/>
    </row>
    <row r="750" spans="2:3" ht="16" x14ac:dyDescent="0.2">
      <c r="B750" s="41"/>
      <c r="C750" s="497"/>
    </row>
    <row r="751" spans="2:3" ht="16" x14ac:dyDescent="0.2">
      <c r="B751" s="41"/>
      <c r="C751" s="497"/>
    </row>
    <row r="752" spans="2:3" ht="16" x14ac:dyDescent="0.2">
      <c r="B752" s="41"/>
      <c r="C752" s="497"/>
    </row>
    <row r="753" spans="2:3" ht="16" x14ac:dyDescent="0.2">
      <c r="B753" s="41"/>
      <c r="C753" s="497"/>
    </row>
    <row r="754" spans="2:3" ht="16" x14ac:dyDescent="0.2">
      <c r="B754" s="41"/>
      <c r="C754" s="497"/>
    </row>
    <row r="755" spans="2:3" ht="16" x14ac:dyDescent="0.2">
      <c r="B755" s="41"/>
      <c r="C755" s="497"/>
    </row>
    <row r="756" spans="2:3" ht="16" x14ac:dyDescent="0.2">
      <c r="B756" s="41"/>
      <c r="C756" s="497"/>
    </row>
    <row r="757" spans="2:3" ht="16" x14ac:dyDescent="0.2">
      <c r="B757" s="41"/>
      <c r="C757" s="497"/>
    </row>
    <row r="758" spans="2:3" ht="16" x14ac:dyDescent="0.2">
      <c r="B758" s="41"/>
      <c r="C758" s="497"/>
    </row>
    <row r="759" spans="2:3" ht="16" x14ac:dyDescent="0.2">
      <c r="B759" s="41"/>
      <c r="C759" s="497"/>
    </row>
    <row r="760" spans="2:3" ht="16" x14ac:dyDescent="0.2">
      <c r="B760" s="41"/>
      <c r="C760" s="497"/>
    </row>
    <row r="761" spans="2:3" ht="16" x14ac:dyDescent="0.2">
      <c r="B761" s="41"/>
      <c r="C761" s="497"/>
    </row>
    <row r="762" spans="2:3" ht="16" x14ac:dyDescent="0.2">
      <c r="B762" s="41"/>
      <c r="C762" s="497"/>
    </row>
    <row r="763" spans="2:3" ht="16" x14ac:dyDescent="0.2">
      <c r="B763" s="41"/>
      <c r="C763" s="497"/>
    </row>
    <row r="764" spans="2:3" ht="16" x14ac:dyDescent="0.2">
      <c r="B764" s="41"/>
      <c r="C764" s="497"/>
    </row>
    <row r="765" spans="2:3" ht="16" x14ac:dyDescent="0.2">
      <c r="B765" s="41"/>
      <c r="C765" s="497"/>
    </row>
    <row r="766" spans="2:3" ht="16" x14ac:dyDescent="0.2">
      <c r="B766" s="41"/>
      <c r="C766" s="497"/>
    </row>
    <row r="767" spans="2:3" ht="16" x14ac:dyDescent="0.2">
      <c r="B767" s="41"/>
      <c r="C767" s="497"/>
    </row>
    <row r="768" spans="2:3" ht="16" x14ac:dyDescent="0.2">
      <c r="B768" s="41"/>
      <c r="C768" s="497"/>
    </row>
    <row r="769" spans="2:3" ht="16" x14ac:dyDescent="0.2">
      <c r="B769" s="41"/>
      <c r="C769" s="497"/>
    </row>
    <row r="770" spans="2:3" ht="16" x14ac:dyDescent="0.2">
      <c r="B770" s="41"/>
      <c r="C770" s="497"/>
    </row>
    <row r="771" spans="2:3" ht="16" x14ac:dyDescent="0.2">
      <c r="B771" s="41"/>
      <c r="C771" s="497"/>
    </row>
    <row r="772" spans="2:3" ht="16" x14ac:dyDescent="0.2">
      <c r="B772" s="41"/>
      <c r="C772" s="497"/>
    </row>
    <row r="773" spans="2:3" ht="16" x14ac:dyDescent="0.2">
      <c r="B773" s="41"/>
      <c r="C773" s="497"/>
    </row>
    <row r="774" spans="2:3" ht="16" x14ac:dyDescent="0.2">
      <c r="B774" s="41"/>
      <c r="C774" s="497"/>
    </row>
    <row r="775" spans="2:3" ht="16" x14ac:dyDescent="0.2">
      <c r="B775" s="41"/>
      <c r="C775" s="497"/>
    </row>
    <row r="776" spans="2:3" ht="16" x14ac:dyDescent="0.2">
      <c r="B776" s="41"/>
      <c r="C776" s="497"/>
    </row>
    <row r="777" spans="2:3" ht="16" x14ac:dyDescent="0.2">
      <c r="B777" s="41"/>
      <c r="C777" s="497"/>
    </row>
    <row r="778" spans="2:3" ht="16" x14ac:dyDescent="0.2">
      <c r="B778" s="41"/>
      <c r="C778" s="497"/>
    </row>
    <row r="779" spans="2:3" ht="16" x14ac:dyDescent="0.2">
      <c r="B779" s="41"/>
      <c r="C779" s="497"/>
    </row>
    <row r="780" spans="2:3" ht="16" x14ac:dyDescent="0.2">
      <c r="B780" s="41"/>
      <c r="C780" s="497"/>
    </row>
    <row r="781" spans="2:3" ht="16" x14ac:dyDescent="0.2">
      <c r="B781" s="41"/>
      <c r="C781" s="497"/>
    </row>
    <row r="782" spans="2:3" ht="16" x14ac:dyDescent="0.2">
      <c r="B782" s="41"/>
      <c r="C782" s="497"/>
    </row>
    <row r="783" spans="2:3" ht="16" x14ac:dyDescent="0.2">
      <c r="B783" s="41"/>
      <c r="C783" s="497"/>
    </row>
    <row r="784" spans="2:3" ht="16" x14ac:dyDescent="0.2">
      <c r="B784" s="41"/>
      <c r="C784" s="497"/>
    </row>
    <row r="785" spans="2:3" ht="16" x14ac:dyDescent="0.2">
      <c r="B785" s="41"/>
      <c r="C785" s="497"/>
    </row>
    <row r="786" spans="2:3" ht="16" x14ac:dyDescent="0.2">
      <c r="B786" s="41"/>
      <c r="C786" s="497"/>
    </row>
    <row r="787" spans="2:3" ht="16" x14ac:dyDescent="0.2">
      <c r="B787" s="41"/>
      <c r="C787" s="497"/>
    </row>
    <row r="788" spans="2:3" ht="16" x14ac:dyDescent="0.2">
      <c r="B788" s="41"/>
      <c r="C788" s="497"/>
    </row>
    <row r="789" spans="2:3" ht="16" x14ac:dyDescent="0.2">
      <c r="B789" s="41"/>
      <c r="C789" s="497"/>
    </row>
    <row r="790" spans="2:3" ht="16" x14ac:dyDescent="0.2">
      <c r="B790" s="41"/>
      <c r="C790" s="497"/>
    </row>
    <row r="791" spans="2:3" ht="16" x14ac:dyDescent="0.2">
      <c r="B791" s="41"/>
      <c r="C791" s="497"/>
    </row>
    <row r="792" spans="2:3" ht="16" x14ac:dyDescent="0.2">
      <c r="B792" s="41"/>
      <c r="C792" s="497"/>
    </row>
    <row r="793" spans="2:3" ht="16" x14ac:dyDescent="0.2">
      <c r="B793" s="41"/>
      <c r="C793" s="497"/>
    </row>
    <row r="794" spans="2:3" ht="16" x14ac:dyDescent="0.2">
      <c r="B794" s="41"/>
      <c r="C794" s="497"/>
    </row>
    <row r="795" spans="2:3" ht="16" x14ac:dyDescent="0.2">
      <c r="B795" s="41"/>
      <c r="C795" s="497"/>
    </row>
    <row r="796" spans="2:3" ht="16" x14ac:dyDescent="0.2">
      <c r="B796" s="41"/>
      <c r="C796" s="497"/>
    </row>
    <row r="797" spans="2:3" ht="16" x14ac:dyDescent="0.2">
      <c r="B797" s="41"/>
      <c r="C797" s="497"/>
    </row>
    <row r="798" spans="2:3" ht="16" x14ac:dyDescent="0.2">
      <c r="B798" s="41"/>
      <c r="C798" s="497"/>
    </row>
  </sheetData>
  <autoFilter ref="A1:O434" xr:uid="{00000000-0009-0000-0000-000001000000}">
    <sortState xmlns:xlrd2="http://schemas.microsoft.com/office/spreadsheetml/2017/richdata2" ref="A2:O798">
      <sortCondition ref="E1:E434"/>
    </sortState>
  </autoFilter>
  <sortState xmlns:xlrd2="http://schemas.microsoft.com/office/spreadsheetml/2017/richdata2" ref="E159:L194">
    <sortCondition ref="E159:E194"/>
  </sortState>
  <conditionalFormatting sqref="B1:D1 D3:D130 D140:D149 D153:D160 B153:B798 D162:D798 B799:D1048576">
    <cfRule type="cellIs" dxfId="121" priority="2" operator="lessThan">
      <formula>0</formula>
    </cfRule>
  </conditionalFormatting>
  <dataValidations count="1">
    <dataValidation type="list" allowBlank="1" showInputMessage="1" showErrorMessage="1" sqref="A551:A1048576" xr:uid="{00000000-0002-0000-0100-000000000000}">
      <formula1>$A$6:$A$250</formula1>
    </dataValidation>
  </dataValidations>
  <hyperlinks>
    <hyperlink ref="N3" r:id="rId1" xr:uid="{4BA815D7-277E-A942-BE3C-30E94F266837}"/>
    <hyperlink ref="N16" r:id="rId2" xr:uid="{16FF1C62-2DF3-CB41-AB78-A1DCE21B34D7}"/>
    <hyperlink ref="N17" r:id="rId3" xr:uid="{46E076E1-7641-4F47-ABA8-B051EB45BB02}"/>
    <hyperlink ref="N18" r:id="rId4" xr:uid="{C8B2A781-20CB-4E4D-ADA0-A88A3BDA5801}"/>
    <hyperlink ref="N19" r:id="rId5" xr:uid="{09604F0D-BFDE-0245-854E-C802ED61F3C7}"/>
    <hyperlink ref="N20" r:id="rId6" xr:uid="{6E2D2DB6-3ADC-BF4F-9D54-3D262AA54D87}"/>
    <hyperlink ref="N26" r:id="rId7" xr:uid="{F576CAAA-FCB9-1146-B84D-96667455C06B}"/>
    <hyperlink ref="N28" r:id="rId8" xr:uid="{B713C54B-D3D5-F643-985A-E06D93CD5126}"/>
    <hyperlink ref="N27" r:id="rId9" xr:uid="{AC396E32-366F-F842-A107-1C557A60A890}"/>
    <hyperlink ref="N29" r:id="rId10" xr:uid="{8341891F-9CF7-3A45-9141-96F7B4121E7E}"/>
    <hyperlink ref="N49" r:id="rId11" xr:uid="{89FA8252-636B-3849-BF08-10CBDACAF9AD}"/>
    <hyperlink ref="N50" r:id="rId12" xr:uid="{4AB90AE9-500F-C247-A6E0-258ED79A8E3F}"/>
    <hyperlink ref="N51" r:id="rId13" xr:uid="{896A8174-CF6A-2D48-A17A-9650367D62B8}"/>
    <hyperlink ref="N52" r:id="rId14" xr:uid="{A2004563-B68C-8B42-8762-55FDA3D42B52}"/>
    <hyperlink ref="N53" r:id="rId15" xr:uid="{B948BE9E-8EF2-0949-B040-398943304BCE}"/>
    <hyperlink ref="N54" r:id="rId16" xr:uid="{7919FA5F-6AD8-0B40-A05B-16E2C0211850}"/>
    <hyperlink ref="N67" r:id="rId17" xr:uid="{0309718E-6E2C-ED4E-9527-18A19D241DDE}"/>
    <hyperlink ref="N68" r:id="rId18" xr:uid="{49734509-26F6-7C46-9430-A4A25F6D646C}"/>
    <hyperlink ref="N69" r:id="rId19" xr:uid="{DB7E0D83-B635-B64E-A1A7-64B6E36DFF76}"/>
    <hyperlink ref="N71" r:id="rId20" xr:uid="{2D91057D-A1FF-0F4E-A5E9-1D1F772A85CD}"/>
    <hyperlink ref="N72" r:id="rId21" xr:uid="{2D52DC36-54A6-1247-92C8-E771B7A9497A}"/>
    <hyperlink ref="N73" r:id="rId22" xr:uid="{6481971F-3641-5240-AF31-3CB893E56521}"/>
    <hyperlink ref="N74" r:id="rId23" xr:uid="{1EFB0FF9-0F9A-5141-8846-1EA9527ED5E7}"/>
    <hyperlink ref="N75" r:id="rId24" xr:uid="{6605CF1A-EDFC-AC4E-8FB8-18DAE1C18C44}"/>
    <hyperlink ref="N76" r:id="rId25" xr:uid="{FBBBF1B7-65E9-1248-AE01-BEA07A6B35A5}"/>
    <hyperlink ref="N77" r:id="rId26" xr:uid="{4A816D61-4549-B145-AC2D-DEAEB5B811C0}"/>
    <hyperlink ref="N78" r:id="rId27" xr:uid="{567C2A2E-5871-794F-8FFF-309FBD85BBC8}"/>
    <hyperlink ref="N79" r:id="rId28" xr:uid="{904AA35A-F21C-2042-9F30-FFD43A606FE8}"/>
    <hyperlink ref="N80" r:id="rId29" xr:uid="{A52AD352-2A2D-9241-9CF4-24AB3D7CBD23}"/>
    <hyperlink ref="N81" r:id="rId30" xr:uid="{78148AD7-75FF-6247-9F07-FB95E060EB43}"/>
    <hyperlink ref="N82" r:id="rId31" xr:uid="{E07D502B-F3E2-574C-9C2B-CCD781C025F8}"/>
    <hyperlink ref="N83" r:id="rId32" xr:uid="{F758EAA5-009A-4D44-B541-931425E3B55E}"/>
    <hyperlink ref="N84" r:id="rId33" xr:uid="{17D138F8-95A5-E54D-A7A3-1C3B9BB83CC9}"/>
    <hyperlink ref="N85" r:id="rId34" xr:uid="{3C7F6B08-7990-364F-9D1D-3771BFB93DCB}"/>
    <hyperlink ref="N86" r:id="rId35" xr:uid="{38C8CC42-A95A-0246-8107-621ED7FE0A3A}"/>
    <hyperlink ref="N91" r:id="rId36" xr:uid="{09441C81-157E-D94B-A050-D707C8EF22D6}"/>
    <hyperlink ref="N92" r:id="rId37" xr:uid="{09666F9C-52EE-FF48-AF8A-DFC96D19A816}"/>
    <hyperlink ref="N93" r:id="rId38" xr:uid="{A523E718-74B3-A546-B2B9-12DFE9A2F3B0}"/>
    <hyperlink ref="N94" r:id="rId39" xr:uid="{2D3D66EB-FB55-F04F-9C5A-05302894B85A}"/>
    <hyperlink ref="N95" r:id="rId40" xr:uid="{B48557F7-02DE-AC45-B9A6-A12AC5E55C7C}"/>
    <hyperlink ref="N96" r:id="rId41" xr:uid="{A0505A44-7984-1D4A-B08E-0CE2B9B3FBFC}"/>
    <hyperlink ref="N97" r:id="rId42" xr:uid="{0D5A44CC-6E28-CE41-A0FF-B94905DEF9C8}"/>
    <hyperlink ref="N155" r:id="rId43" xr:uid="{C8E3437E-A032-3B4E-B744-E8A53996A6EB}"/>
    <hyperlink ref="N156" r:id="rId44" xr:uid="{2C62E656-ACAD-C34F-A295-E4E4A2D4DE02}"/>
    <hyperlink ref="N157" r:id="rId45" xr:uid="{B4A5A2BC-8FB5-3A41-87B0-66F2FA25A134}"/>
    <hyperlink ref="N158" r:id="rId46" xr:uid="{A090B742-067B-CF42-8688-4BF36E4A3129}"/>
    <hyperlink ref="N159" r:id="rId47" xr:uid="{7E45099E-C4E7-1642-97F4-3AFF8F23BE7A}"/>
    <hyperlink ref="N160" r:id="rId48" xr:uid="{3F6F319A-EA8C-D247-A03B-875C40FF838E}"/>
    <hyperlink ref="N133" r:id="rId49" xr:uid="{F5995BD8-C6B0-8048-A3FE-335BD092A93E}"/>
    <hyperlink ref="N134" r:id="rId50" xr:uid="{EB6F250E-DD49-1643-8A0C-525520B0BF01}"/>
    <hyperlink ref="N135" r:id="rId51" xr:uid="{E95FB4B0-28C7-BE42-A6C4-19D70DA6AE62}"/>
    <hyperlink ref="N136" r:id="rId52" xr:uid="{5FBFFBC2-1133-9547-AE5C-D487EC5F6B20}"/>
    <hyperlink ref="N137" r:id="rId53" xr:uid="{51C52D22-0FC7-BD47-948B-7DEDF6EA058D}"/>
    <hyperlink ref="N138" r:id="rId54" xr:uid="{2BABC29C-845B-E14C-833C-3983F8817B96}"/>
    <hyperlink ref="N139" r:id="rId55" xr:uid="{FEDB9E27-9F11-1A44-BDDC-B11036481CCC}"/>
    <hyperlink ref="N141" r:id="rId56" xr:uid="{96B62C9C-DB37-2148-9239-0963251D959D}"/>
    <hyperlink ref="N142" r:id="rId57" xr:uid="{E4F998CB-C89E-0B4E-BBE9-EE27C6C17FFC}"/>
    <hyperlink ref="N143" r:id="rId58" xr:uid="{860FAF1C-60C6-8D41-BE41-B8F940C86D1D}"/>
    <hyperlink ref="N144" r:id="rId59" xr:uid="{0A582785-77D8-A646-AC72-B20CB2C9318C}"/>
    <hyperlink ref="N145" r:id="rId60" xr:uid="{034ADB11-7BFF-AD49-A807-A1CC94ADCA53}"/>
    <hyperlink ref="N146" r:id="rId61" xr:uid="{DA373905-2AF1-924A-8E95-24ABBA429E42}"/>
    <hyperlink ref="N149" r:id="rId62" xr:uid="{442A863F-C0E0-3A4D-822B-21DB7E3570FF}"/>
    <hyperlink ref="N140" r:id="rId63" xr:uid="{25E7794B-6727-4447-9848-AD10076A27AB}"/>
    <hyperlink ref="M423" r:id="rId64" display="http://jumbo.com/" xr:uid="{DDAC7B9A-7271-8E48-BD6F-8881940B87BD}"/>
    <hyperlink ref="N280" r:id="rId65" xr:uid="{3C4B79E9-C7D8-9847-BD87-E63D84A6D588}"/>
    <hyperlink ref="N282" r:id="rId66" xr:uid="{2EA59849-0681-E64C-8717-FF1349A441CF}"/>
    <hyperlink ref="N281" r:id="rId67" xr:uid="{22575652-5DA8-2440-815D-FA18FE0321C7}"/>
    <hyperlink ref="N283" r:id="rId68" xr:uid="{2CD87347-3E4A-8943-B083-DCE6834347CE}"/>
    <hyperlink ref="N327" r:id="rId69" xr:uid="{33A9BAB5-CDA0-5C49-BD9B-32D4C157A687}"/>
    <hyperlink ref="N330" r:id="rId70" xr:uid="{21C917C4-DDCC-A845-8C7A-46E622EA0DE0}"/>
    <hyperlink ref="N331" r:id="rId71" xr:uid="{F5BA1F56-BC8B-0749-AB8B-5DCEB90E2E6B}"/>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Kostensoorts!$A$10:$A$297</xm:f>
          </x14:formula1>
          <xm:sqref>A1:A2</xm:sqref>
        </x14:dataValidation>
        <x14:dataValidation type="list" allowBlank="1" showInputMessage="1" showErrorMessage="1" xr:uid="{00000000-0002-0000-0100-000003000000}">
          <x14:formula1>
            <xm:f>Kostensoorts!$A$3:$A$1069</xm:f>
          </x14:formula1>
          <xm:sqref>A105:A106 A80:A88 A100:A103 A90:A91 A64 A53:A57 A78 A108:A112 A62 A4:A5</xm:sqref>
        </x14:dataValidation>
        <x14:dataValidation type="list" allowBlank="1" showInputMessage="1" showErrorMessage="1" xr:uid="{00000000-0002-0000-0100-000002000000}">
          <x14:formula1>
            <xm:f>Kostensoorts!$A$3:$A$336</xm:f>
          </x14:formula1>
          <xm:sqref>A107 A3 A455:A457 A406 A430:A433 A427 A425 A423 A415:A420 A413 A411 A396:A403 A369:A377 A388 A235:A238 A364:A367 A362 A354:A359 A153:A190 A337:A339 A320:A335 A259:A260 A318 A316 A248:A257 A286 A280:A283 A276 A274 A271:A272 A89 A288:A313 A227:A233 A243:A245 A240:A241 A192:A193 A199:A222 A262:A265 A196:A197 A341:A346 A140:A149 A113:A132 A92:A99 A6:A52 A65:A77 A63 A58:A61 A79 A104 A349 A352 A391:A392 A435:A449 A462:A550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D379-5099-411C-BAAD-1E9F84B092A0}">
  <sheetPr>
    <tabColor theme="9" tint="0.59999389629810485"/>
  </sheetPr>
  <dimension ref="A1:AP801"/>
  <sheetViews>
    <sheetView zoomScaleNormal="143" zoomScalePageLayoutView="143" workbookViewId="0">
      <pane ySplit="1" topLeftCell="A2" activePane="bottomLeft" state="frozen"/>
      <selection pane="bottomLeft" activeCell="E10" sqref="E10"/>
    </sheetView>
  </sheetViews>
  <sheetFormatPr baseColWidth="10" defaultColWidth="10.83203125" defaultRowHeight="15" x14ac:dyDescent="0.2"/>
  <cols>
    <col min="1" max="1" width="32.5" style="40" customWidth="1"/>
    <col min="2" max="2" width="14" customWidth="1"/>
    <col min="3" max="3" width="12.83203125" customWidth="1"/>
    <col min="4" max="4" width="8.6640625" customWidth="1"/>
    <col min="5" max="5" width="12.83203125" style="139" customWidth="1"/>
    <col min="6" max="6" width="23.1640625" customWidth="1"/>
    <col min="7" max="7" width="19.1640625" bestFit="1" customWidth="1"/>
    <col min="8" max="8" width="10.5" customWidth="1"/>
    <col min="9" max="9" width="16.1640625" bestFit="1" customWidth="1"/>
    <col min="10" max="10" width="247.5" hidden="1" customWidth="1"/>
    <col min="11" max="11" width="45.83203125" customWidth="1"/>
  </cols>
  <sheetData>
    <row r="1" spans="1:12" x14ac:dyDescent="0.2">
      <c r="A1" s="295" t="s">
        <v>348</v>
      </c>
      <c r="B1" s="296" t="s">
        <v>349</v>
      </c>
      <c r="C1" s="297" t="s">
        <v>355</v>
      </c>
      <c r="D1" s="298"/>
      <c r="E1" s="299" t="s">
        <v>350</v>
      </c>
      <c r="F1" s="300" t="s">
        <v>351</v>
      </c>
      <c r="G1" s="296" t="s">
        <v>356</v>
      </c>
      <c r="H1" s="299" t="s">
        <v>359</v>
      </c>
      <c r="I1" s="296" t="s">
        <v>360</v>
      </c>
      <c r="J1" s="294" t="s">
        <v>352</v>
      </c>
      <c r="K1" s="297" t="s">
        <v>361</v>
      </c>
    </row>
    <row r="2" spans="1:12" x14ac:dyDescent="0.2">
      <c r="B2" s="40"/>
      <c r="C2" s="40"/>
      <c r="D2" s="40"/>
      <c r="E2" s="40"/>
      <c r="F2" s="40"/>
      <c r="G2" s="40"/>
      <c r="H2" s="40"/>
      <c r="I2" s="40"/>
      <c r="J2" s="40"/>
      <c r="K2" s="40"/>
    </row>
    <row r="3" spans="1:12" ht="16" x14ac:dyDescent="0.2">
      <c r="A3" s="40" t="s">
        <v>318</v>
      </c>
      <c r="B3" s="633">
        <v>9500</v>
      </c>
      <c r="C3" s="497">
        <v>10000</v>
      </c>
      <c r="D3" s="37"/>
      <c r="E3" s="131">
        <v>20241120</v>
      </c>
      <c r="F3" s="132" t="s">
        <v>425</v>
      </c>
      <c r="G3" s="132" t="s">
        <v>362</v>
      </c>
      <c r="H3" s="132" t="s">
        <v>363</v>
      </c>
      <c r="I3" s="132" t="s">
        <v>365</v>
      </c>
      <c r="J3" s="132" t="s">
        <v>364</v>
      </c>
      <c r="K3" s="132"/>
      <c r="L3" s="132"/>
    </row>
    <row r="4" spans="1:12" ht="16" x14ac:dyDescent="0.2">
      <c r="A4" s="40" t="s">
        <v>346</v>
      </c>
      <c r="B4" s="666">
        <v>98.14</v>
      </c>
      <c r="C4" s="497">
        <f>C3+B4</f>
        <v>10098.14</v>
      </c>
      <c r="D4" s="37"/>
      <c r="E4" s="131">
        <v>20250101</v>
      </c>
      <c r="F4" s="132"/>
      <c r="G4" s="132"/>
      <c r="H4" s="132"/>
      <c r="I4" s="134"/>
      <c r="J4" s="132"/>
      <c r="K4" s="498"/>
    </row>
    <row r="5" spans="1:12" ht="16" x14ac:dyDescent="0.2">
      <c r="A5" s="40" t="s">
        <v>317</v>
      </c>
      <c r="B5" s="666">
        <v>-3000</v>
      </c>
      <c r="C5" s="497">
        <f t="shared" ref="C5:C9" si="0">C4+B5</f>
        <v>7098.1399999999994</v>
      </c>
      <c r="D5" s="497"/>
      <c r="E5" s="131">
        <v>20250330</v>
      </c>
      <c r="F5" s="132" t="s">
        <v>425</v>
      </c>
      <c r="G5" s="132" t="s">
        <v>362</v>
      </c>
      <c r="H5" s="132" t="s">
        <v>363</v>
      </c>
      <c r="I5" s="134"/>
      <c r="J5" s="132"/>
      <c r="K5" s="498"/>
    </row>
    <row r="6" spans="1:12" ht="16" x14ac:dyDescent="0.2">
      <c r="A6" s="40" t="s">
        <v>317</v>
      </c>
      <c r="B6" s="667">
        <v>-4000</v>
      </c>
      <c r="C6" s="497">
        <f t="shared" si="0"/>
        <v>3098.1399999999994</v>
      </c>
      <c r="D6" s="37"/>
      <c r="E6" s="131">
        <v>20250418</v>
      </c>
      <c r="F6" s="132" t="s">
        <v>425</v>
      </c>
      <c r="G6" s="132" t="s">
        <v>362</v>
      </c>
      <c r="H6" s="132" t="s">
        <v>363</v>
      </c>
      <c r="I6" s="132"/>
      <c r="J6" s="132"/>
      <c r="K6" s="498"/>
    </row>
    <row r="7" spans="1:12" ht="16" x14ac:dyDescent="0.2">
      <c r="A7" s="40" t="s">
        <v>317</v>
      </c>
      <c r="B7" s="667">
        <v>-2000</v>
      </c>
      <c r="C7" s="497">
        <f t="shared" si="0"/>
        <v>1098.1399999999994</v>
      </c>
      <c r="D7" s="37"/>
      <c r="E7" s="131">
        <v>20250625</v>
      </c>
      <c r="F7" s="132" t="s">
        <v>425</v>
      </c>
      <c r="G7" s="132" t="s">
        <v>362</v>
      </c>
      <c r="H7" s="132" t="s">
        <v>363</v>
      </c>
      <c r="I7" s="132"/>
      <c r="J7" s="132"/>
      <c r="K7" s="498"/>
    </row>
    <row r="8" spans="1:12" ht="16" x14ac:dyDescent="0.2">
      <c r="A8" s="40" t="s">
        <v>318</v>
      </c>
      <c r="B8" s="667">
        <v>9000</v>
      </c>
      <c r="C8" s="497">
        <f t="shared" si="0"/>
        <v>10098.14</v>
      </c>
      <c r="D8" s="37"/>
      <c r="E8" s="131">
        <v>20250929</v>
      </c>
      <c r="F8" s="132" t="s">
        <v>425</v>
      </c>
      <c r="G8" s="132" t="s">
        <v>362</v>
      </c>
      <c r="H8" s="132" t="s">
        <v>363</v>
      </c>
      <c r="I8" s="132"/>
      <c r="J8" s="132"/>
      <c r="K8" s="498"/>
    </row>
    <row r="9" spans="1:12" ht="16" x14ac:dyDescent="0.2">
      <c r="A9" s="40" t="s">
        <v>317</v>
      </c>
      <c r="B9" s="667">
        <v>-1300</v>
      </c>
      <c r="C9" s="497">
        <f t="shared" si="0"/>
        <v>8798.14</v>
      </c>
      <c r="D9" s="37"/>
      <c r="E9" s="131">
        <v>20251014</v>
      </c>
      <c r="F9" s="132" t="s">
        <v>425</v>
      </c>
      <c r="G9" s="132" t="s">
        <v>362</v>
      </c>
      <c r="H9" s="132" t="s">
        <v>363</v>
      </c>
      <c r="I9" s="132"/>
      <c r="J9" s="132" t="s">
        <v>1083</v>
      </c>
      <c r="K9" s="498"/>
    </row>
    <row r="10" spans="1:12" ht="16" x14ac:dyDescent="0.2">
      <c r="B10" s="41"/>
      <c r="C10" s="497"/>
      <c r="D10" s="37"/>
      <c r="E10" s="131"/>
      <c r="F10" s="132"/>
      <c r="G10" s="132"/>
      <c r="H10" s="132"/>
      <c r="I10" s="132"/>
      <c r="J10" s="132"/>
      <c r="K10" s="498"/>
    </row>
    <row r="11" spans="1:12" ht="16" x14ac:dyDescent="0.2">
      <c r="B11" s="41"/>
      <c r="C11" s="497"/>
      <c r="D11" s="37"/>
      <c r="E11" s="131"/>
      <c r="F11" s="132"/>
      <c r="G11" s="132"/>
      <c r="H11" s="132"/>
      <c r="I11" s="132"/>
      <c r="J11" s="132"/>
      <c r="K11" s="498"/>
    </row>
    <row r="12" spans="1:12" ht="16" x14ac:dyDescent="0.2">
      <c r="B12" s="41"/>
      <c r="C12" s="497"/>
      <c r="D12" s="37"/>
      <c r="E12" s="131"/>
      <c r="F12" s="132"/>
      <c r="G12" s="132"/>
      <c r="H12" s="132"/>
      <c r="I12" s="132"/>
      <c r="J12" s="132"/>
    </row>
    <row r="13" spans="1:12" ht="16" x14ac:dyDescent="0.2">
      <c r="B13" s="41"/>
      <c r="C13" s="497"/>
      <c r="D13" s="37"/>
      <c r="E13" s="131"/>
      <c r="F13" s="132"/>
      <c r="G13" s="132"/>
      <c r="H13" s="132"/>
      <c r="I13" s="132"/>
      <c r="J13" s="132"/>
      <c r="K13" s="498"/>
    </row>
    <row r="14" spans="1:12" ht="16" x14ac:dyDescent="0.2">
      <c r="B14" s="41"/>
      <c r="C14" s="497"/>
      <c r="D14" s="37"/>
      <c r="E14" s="131"/>
      <c r="F14" s="132"/>
      <c r="G14" s="132"/>
      <c r="H14" s="132"/>
      <c r="I14" s="132"/>
      <c r="J14" s="132"/>
      <c r="K14" s="498"/>
    </row>
    <row r="15" spans="1:12" ht="16" x14ac:dyDescent="0.2">
      <c r="B15" s="41"/>
      <c r="C15" s="497"/>
      <c r="D15" s="37"/>
      <c r="E15" s="131"/>
      <c r="F15" s="132"/>
      <c r="G15" s="132"/>
      <c r="H15" s="132"/>
      <c r="I15" s="132"/>
      <c r="J15" s="132"/>
      <c r="K15" s="498"/>
    </row>
    <row r="16" spans="1:12" ht="16" x14ac:dyDescent="0.2">
      <c r="B16" s="41"/>
      <c r="C16" s="497"/>
      <c r="D16" s="37"/>
      <c r="E16" s="131"/>
      <c r="F16" s="132"/>
      <c r="G16" s="132"/>
      <c r="H16" s="132"/>
      <c r="I16" s="132"/>
      <c r="J16" s="132"/>
    </row>
    <row r="17" spans="2:11" ht="16" x14ac:dyDescent="0.2">
      <c r="B17" s="41"/>
      <c r="C17" s="497"/>
      <c r="D17" s="37"/>
      <c r="E17" s="131"/>
      <c r="F17" s="132"/>
      <c r="G17" s="132"/>
      <c r="H17" s="132"/>
      <c r="I17" s="132"/>
      <c r="J17" s="132"/>
    </row>
    <row r="18" spans="2:11" ht="16" x14ac:dyDescent="0.2">
      <c r="B18" s="41"/>
      <c r="C18" s="497"/>
      <c r="D18" s="37"/>
      <c r="E18" s="131"/>
      <c r="F18" s="132"/>
      <c r="G18" s="132"/>
      <c r="H18" s="132"/>
      <c r="I18" s="132"/>
      <c r="J18" s="132"/>
      <c r="K18" s="498"/>
    </row>
    <row r="19" spans="2:11" ht="16" x14ac:dyDescent="0.2">
      <c r="B19" s="41"/>
      <c r="C19" s="497"/>
      <c r="D19" s="37"/>
      <c r="E19" s="131"/>
      <c r="F19" s="132"/>
      <c r="G19" s="132"/>
      <c r="H19" s="132"/>
      <c r="I19" s="132"/>
      <c r="J19" s="132"/>
    </row>
    <row r="20" spans="2:11" ht="16" x14ac:dyDescent="0.2">
      <c r="B20" s="41"/>
      <c r="C20" s="497"/>
      <c r="D20" s="37"/>
      <c r="E20" s="131"/>
      <c r="F20" s="132"/>
      <c r="G20" s="132"/>
      <c r="H20" s="132"/>
      <c r="I20" s="132"/>
      <c r="J20" s="132"/>
    </row>
    <row r="21" spans="2:11" ht="16" x14ac:dyDescent="0.2">
      <c r="B21" s="41"/>
      <c r="C21" s="497"/>
      <c r="D21" s="37"/>
      <c r="E21" s="131"/>
      <c r="F21" s="132"/>
      <c r="G21" s="132"/>
      <c r="H21" s="132"/>
      <c r="I21" s="132"/>
      <c r="J21" s="132"/>
      <c r="K21" s="498"/>
    </row>
    <row r="22" spans="2:11" ht="16" x14ac:dyDescent="0.2">
      <c r="B22" s="41"/>
      <c r="C22" s="497"/>
      <c r="D22" s="37"/>
      <c r="E22" s="131"/>
      <c r="F22" s="132"/>
      <c r="G22" s="132"/>
      <c r="H22" s="132"/>
      <c r="I22" s="132"/>
      <c r="J22" s="132"/>
    </row>
    <row r="23" spans="2:11" ht="16" x14ac:dyDescent="0.2">
      <c r="B23" s="41"/>
      <c r="C23" s="497"/>
      <c r="D23" s="37"/>
      <c r="E23" s="131"/>
      <c r="F23" s="132"/>
      <c r="G23" s="132"/>
      <c r="H23" s="132"/>
      <c r="I23" s="132"/>
      <c r="J23" s="132"/>
    </row>
    <row r="24" spans="2:11" ht="16" x14ac:dyDescent="0.2">
      <c r="B24" s="41"/>
      <c r="C24" s="497"/>
      <c r="D24" s="37"/>
      <c r="E24" s="131"/>
      <c r="F24" s="132"/>
      <c r="G24" s="132"/>
      <c r="H24" s="132"/>
      <c r="I24" s="132"/>
      <c r="J24" s="132"/>
    </row>
    <row r="25" spans="2:11" ht="16" x14ac:dyDescent="0.2">
      <c r="B25" s="41"/>
      <c r="C25" s="497"/>
      <c r="D25" s="37"/>
      <c r="E25" s="131"/>
      <c r="F25" s="132"/>
      <c r="G25" s="132"/>
      <c r="H25" s="132"/>
      <c r="I25" s="132"/>
      <c r="J25" s="132"/>
      <c r="K25" s="498"/>
    </row>
    <row r="26" spans="2:11" ht="16" x14ac:dyDescent="0.2">
      <c r="B26" s="41"/>
      <c r="C26" s="497"/>
      <c r="D26" s="37"/>
      <c r="E26" s="131"/>
      <c r="F26" s="132"/>
      <c r="G26" s="132"/>
      <c r="H26" s="132"/>
      <c r="I26" s="132"/>
      <c r="J26" s="132"/>
    </row>
    <row r="27" spans="2:11" ht="16" x14ac:dyDescent="0.2">
      <c r="B27" s="41"/>
      <c r="C27" s="497"/>
      <c r="D27" s="37"/>
      <c r="E27" s="131"/>
      <c r="F27" s="132"/>
      <c r="G27" s="132"/>
      <c r="H27" s="132"/>
      <c r="I27" s="132"/>
      <c r="J27" s="132"/>
    </row>
    <row r="28" spans="2:11" ht="16" x14ac:dyDescent="0.2">
      <c r="B28" s="41"/>
      <c r="C28" s="497"/>
      <c r="D28" s="37"/>
      <c r="E28" s="131"/>
      <c r="F28" s="132"/>
      <c r="G28" s="132"/>
      <c r="H28" s="132"/>
      <c r="I28" s="132"/>
      <c r="J28" s="132"/>
    </row>
    <row r="29" spans="2:11" ht="16" x14ac:dyDescent="0.2">
      <c r="B29" s="41"/>
      <c r="C29" s="497"/>
      <c r="D29" s="37"/>
      <c r="E29" s="131"/>
      <c r="F29" s="132"/>
      <c r="G29" s="132"/>
      <c r="H29" s="132"/>
      <c r="I29" s="132"/>
      <c r="J29" s="132"/>
    </row>
    <row r="30" spans="2:11" ht="16" x14ac:dyDescent="0.2">
      <c r="B30" s="41"/>
      <c r="C30" s="497"/>
      <c r="D30" s="37"/>
      <c r="E30" s="131"/>
      <c r="F30" s="132"/>
      <c r="G30" s="132"/>
      <c r="H30" s="132"/>
      <c r="I30" s="132"/>
      <c r="J30" s="132"/>
    </row>
    <row r="31" spans="2:11" ht="16" x14ac:dyDescent="0.2">
      <c r="B31" s="41"/>
      <c r="C31" s="497"/>
      <c r="D31" s="37"/>
      <c r="E31" s="131"/>
      <c r="F31" s="132"/>
      <c r="G31" s="132"/>
      <c r="H31" s="132"/>
      <c r="I31" s="132"/>
      <c r="J31" s="132"/>
    </row>
    <row r="32" spans="2:11" ht="16" x14ac:dyDescent="0.2">
      <c r="B32" s="41"/>
      <c r="C32" s="497"/>
      <c r="D32" s="37"/>
      <c r="E32" s="131"/>
      <c r="F32" s="132"/>
      <c r="G32" s="132"/>
      <c r="H32" s="132"/>
      <c r="I32" s="132"/>
      <c r="J32" s="132"/>
    </row>
    <row r="33" spans="2:11" ht="16" x14ac:dyDescent="0.2">
      <c r="B33" s="41"/>
      <c r="C33" s="497"/>
      <c r="D33" s="37"/>
      <c r="E33" s="131"/>
      <c r="F33" s="132"/>
      <c r="G33" s="132"/>
      <c r="H33" s="132"/>
      <c r="I33" s="132"/>
      <c r="J33" s="132"/>
    </row>
    <row r="34" spans="2:11" ht="16" x14ac:dyDescent="0.2">
      <c r="B34" s="41"/>
      <c r="C34" s="497"/>
      <c r="D34" s="37"/>
      <c r="E34" s="131"/>
      <c r="F34" s="132"/>
      <c r="G34" s="132"/>
      <c r="H34" s="132"/>
      <c r="I34" s="132"/>
      <c r="J34" s="132"/>
    </row>
    <row r="35" spans="2:11" ht="16" x14ac:dyDescent="0.2">
      <c r="B35" s="41"/>
      <c r="C35" s="497"/>
      <c r="D35" s="37"/>
      <c r="E35" s="131"/>
      <c r="F35" s="132"/>
      <c r="G35" s="132"/>
      <c r="H35" s="132"/>
      <c r="I35" s="132"/>
      <c r="J35" s="132"/>
    </row>
    <row r="36" spans="2:11" ht="16" x14ac:dyDescent="0.2">
      <c r="B36" s="41"/>
      <c r="C36" s="497"/>
      <c r="D36" s="37"/>
      <c r="E36" s="131"/>
      <c r="F36" s="132"/>
      <c r="G36" s="132"/>
      <c r="H36" s="132"/>
      <c r="I36" s="132"/>
      <c r="J36" s="132"/>
    </row>
    <row r="37" spans="2:11" ht="16" x14ac:dyDescent="0.2">
      <c r="B37" s="41"/>
      <c r="C37" s="497"/>
      <c r="D37" s="37"/>
      <c r="E37" s="131"/>
      <c r="F37" s="132"/>
      <c r="G37" s="132"/>
      <c r="H37" s="132"/>
      <c r="I37" s="132"/>
      <c r="J37" s="132"/>
      <c r="K37" s="498"/>
    </row>
    <row r="38" spans="2:11" ht="16" x14ac:dyDescent="0.2">
      <c r="B38" s="41"/>
      <c r="C38" s="497"/>
      <c r="D38" s="37"/>
      <c r="E38" s="131"/>
      <c r="F38" s="132"/>
      <c r="G38" s="132"/>
      <c r="H38" s="132"/>
      <c r="I38" s="132"/>
      <c r="J38" s="132"/>
      <c r="K38" s="498"/>
    </row>
    <row r="39" spans="2:11" ht="16" x14ac:dyDescent="0.2">
      <c r="B39" s="41"/>
      <c r="C39" s="497"/>
      <c r="D39" s="37"/>
      <c r="E39" s="131"/>
      <c r="F39" s="132"/>
      <c r="G39" s="132"/>
      <c r="H39" s="132"/>
      <c r="I39" s="132"/>
      <c r="J39" s="132"/>
    </row>
    <row r="40" spans="2:11" ht="16" x14ac:dyDescent="0.2">
      <c r="B40" s="41"/>
      <c r="C40" s="497"/>
      <c r="D40" s="37"/>
      <c r="E40" s="131"/>
      <c r="F40" s="132"/>
      <c r="G40" s="132"/>
      <c r="H40" s="132"/>
      <c r="I40" s="132"/>
      <c r="J40" s="132"/>
      <c r="K40" s="498"/>
    </row>
    <row r="41" spans="2:11" ht="16" x14ac:dyDescent="0.2">
      <c r="B41" s="41"/>
      <c r="C41" s="497"/>
      <c r="D41" s="37"/>
      <c r="E41" s="131"/>
      <c r="F41" s="132"/>
      <c r="G41" s="132"/>
      <c r="H41" s="132"/>
      <c r="I41" s="132"/>
      <c r="J41" s="132"/>
    </row>
    <row r="42" spans="2:11" ht="16" x14ac:dyDescent="0.2">
      <c r="B42" s="41"/>
      <c r="C42" s="497"/>
      <c r="D42" s="37"/>
      <c r="E42" s="131"/>
      <c r="F42" s="132"/>
      <c r="G42" s="132"/>
      <c r="H42" s="132"/>
      <c r="I42" s="132"/>
      <c r="J42" s="132"/>
      <c r="K42" s="498"/>
    </row>
    <row r="43" spans="2:11" ht="16" x14ac:dyDescent="0.2">
      <c r="B43" s="41"/>
      <c r="C43" s="497"/>
      <c r="D43" s="37"/>
      <c r="E43" s="131"/>
      <c r="F43" s="132"/>
      <c r="G43" s="132"/>
      <c r="H43" s="132"/>
      <c r="I43" s="132"/>
      <c r="J43" s="132"/>
      <c r="K43" s="498"/>
    </row>
    <row r="44" spans="2:11" ht="16" x14ac:dyDescent="0.2">
      <c r="B44" s="41"/>
      <c r="C44" s="497"/>
      <c r="D44" s="37"/>
      <c r="E44" s="131"/>
      <c r="F44" s="132"/>
      <c r="G44" s="132"/>
      <c r="H44" s="132"/>
      <c r="I44" s="132"/>
      <c r="J44" s="132"/>
      <c r="K44" s="498"/>
    </row>
    <row r="45" spans="2:11" ht="16" x14ac:dyDescent="0.2">
      <c r="B45" s="41"/>
      <c r="C45" s="497"/>
      <c r="D45" s="37"/>
      <c r="E45" s="131"/>
      <c r="F45" s="132"/>
      <c r="G45" s="132"/>
      <c r="H45" s="132"/>
      <c r="I45" s="132"/>
      <c r="J45" s="132"/>
      <c r="K45" s="498"/>
    </row>
    <row r="46" spans="2:11" ht="16" x14ac:dyDescent="0.2">
      <c r="B46" s="41"/>
      <c r="C46" s="497"/>
      <c r="D46" s="37"/>
      <c r="E46" s="131"/>
      <c r="F46" s="132"/>
      <c r="G46" s="132"/>
      <c r="H46" s="132"/>
      <c r="I46" s="132"/>
      <c r="J46" s="132"/>
    </row>
    <row r="47" spans="2:11" ht="16" x14ac:dyDescent="0.2">
      <c r="B47" s="41"/>
      <c r="C47" s="497"/>
      <c r="D47" s="37"/>
      <c r="E47" s="131"/>
      <c r="F47" s="132"/>
      <c r="G47" s="132"/>
      <c r="H47" s="132"/>
      <c r="I47" s="132"/>
      <c r="J47" s="132"/>
    </row>
    <row r="48" spans="2:11" ht="16" x14ac:dyDescent="0.2">
      <c r="B48" s="41"/>
      <c r="C48" s="497"/>
      <c r="D48" s="37"/>
      <c r="E48" s="131"/>
      <c r="F48" s="132"/>
      <c r="G48" s="132"/>
      <c r="H48" s="132"/>
      <c r="I48" s="132"/>
      <c r="J48" s="132"/>
    </row>
    <row r="49" spans="2:11" ht="16" x14ac:dyDescent="0.2">
      <c r="B49" s="41"/>
      <c r="C49" s="497"/>
      <c r="D49" s="37"/>
      <c r="E49" s="131"/>
      <c r="F49" s="132"/>
      <c r="G49" s="132"/>
      <c r="H49" s="132"/>
      <c r="I49" s="132"/>
      <c r="J49" s="132"/>
      <c r="K49" s="498"/>
    </row>
    <row r="50" spans="2:11" ht="16" x14ac:dyDescent="0.2">
      <c r="B50" s="41"/>
      <c r="C50" s="497"/>
      <c r="D50" s="37"/>
      <c r="E50" s="131"/>
      <c r="F50" s="132"/>
      <c r="G50" s="132"/>
      <c r="H50" s="132"/>
      <c r="I50" s="132"/>
      <c r="J50" s="132"/>
      <c r="K50" s="498"/>
    </row>
    <row r="51" spans="2:11" ht="16" x14ac:dyDescent="0.2">
      <c r="B51" s="41"/>
      <c r="C51" s="497"/>
      <c r="D51" s="37"/>
      <c r="E51" s="131"/>
      <c r="F51" s="132"/>
      <c r="G51" s="132"/>
      <c r="H51" s="132"/>
      <c r="I51" s="132"/>
      <c r="J51" s="132"/>
    </row>
    <row r="52" spans="2:11" ht="16" x14ac:dyDescent="0.2">
      <c r="B52" s="41"/>
      <c r="C52" s="497"/>
      <c r="D52" s="37"/>
      <c r="E52" s="131"/>
      <c r="F52" s="132"/>
      <c r="G52" s="132"/>
      <c r="H52" s="132"/>
      <c r="I52" s="132"/>
      <c r="J52" s="132"/>
    </row>
    <row r="53" spans="2:11" ht="16" x14ac:dyDescent="0.2">
      <c r="B53" s="41"/>
      <c r="C53" s="497"/>
      <c r="D53" s="37"/>
      <c r="E53" s="131"/>
      <c r="F53" s="132"/>
      <c r="G53" s="132"/>
      <c r="H53" s="132"/>
      <c r="I53" s="132"/>
      <c r="J53" s="132"/>
    </row>
    <row r="54" spans="2:11" ht="16" x14ac:dyDescent="0.2">
      <c r="B54" s="41"/>
      <c r="C54" s="497"/>
      <c r="D54" s="37"/>
      <c r="E54" s="131"/>
      <c r="F54" s="132"/>
      <c r="G54" s="132"/>
      <c r="H54" s="132"/>
      <c r="I54" s="132"/>
      <c r="J54" s="132"/>
    </row>
    <row r="55" spans="2:11" ht="16" x14ac:dyDescent="0.2">
      <c r="B55" s="41"/>
      <c r="C55" s="497"/>
      <c r="D55" s="37"/>
      <c r="E55" s="131"/>
      <c r="F55" s="132"/>
      <c r="G55" s="132"/>
      <c r="H55" s="132"/>
      <c r="I55" s="132"/>
      <c r="J55" s="132"/>
    </row>
    <row r="56" spans="2:11" ht="16" x14ac:dyDescent="0.2">
      <c r="B56" s="41"/>
      <c r="C56" s="497"/>
      <c r="D56" s="37"/>
      <c r="E56" s="131"/>
      <c r="F56" s="132"/>
      <c r="G56" s="132"/>
      <c r="H56" s="132"/>
      <c r="I56" s="132"/>
      <c r="J56" s="132"/>
    </row>
    <row r="57" spans="2:11" ht="16" x14ac:dyDescent="0.2">
      <c r="B57" s="41"/>
      <c r="C57" s="497"/>
      <c r="D57" s="37"/>
      <c r="E57" s="131"/>
      <c r="F57" s="132"/>
      <c r="G57" s="132"/>
      <c r="H57" s="132"/>
      <c r="I57" s="132"/>
      <c r="J57" s="132"/>
    </row>
    <row r="58" spans="2:11" ht="16" x14ac:dyDescent="0.2">
      <c r="B58" s="41"/>
      <c r="C58" s="497"/>
      <c r="D58" s="37"/>
      <c r="E58" s="131"/>
      <c r="F58" s="132"/>
      <c r="G58" s="132"/>
      <c r="H58" s="132"/>
      <c r="I58" s="132"/>
      <c r="J58" s="132"/>
      <c r="K58" s="498"/>
    </row>
    <row r="59" spans="2:11" ht="16" x14ac:dyDescent="0.2">
      <c r="B59" s="41"/>
      <c r="C59" s="497"/>
      <c r="D59" s="37"/>
      <c r="E59" s="131"/>
      <c r="F59" s="132"/>
      <c r="G59" s="132"/>
      <c r="H59" s="132"/>
      <c r="I59" s="132"/>
      <c r="J59" s="132"/>
      <c r="K59" s="498"/>
    </row>
    <row r="60" spans="2:11" ht="16" x14ac:dyDescent="0.2">
      <c r="B60" s="41"/>
      <c r="C60" s="497"/>
      <c r="D60" s="37"/>
      <c r="E60" s="131"/>
      <c r="F60" s="132"/>
      <c r="G60" s="132"/>
      <c r="H60" s="132"/>
      <c r="I60" s="132"/>
      <c r="J60" s="132"/>
    </row>
    <row r="61" spans="2:11" ht="16" x14ac:dyDescent="0.2">
      <c r="B61" s="41"/>
      <c r="C61" s="497"/>
      <c r="D61" s="37"/>
      <c r="E61" s="131"/>
      <c r="F61" s="132"/>
      <c r="G61" s="132"/>
      <c r="H61" s="132"/>
      <c r="I61" s="132"/>
      <c r="J61" s="132"/>
    </row>
    <row r="62" spans="2:11" ht="16" x14ac:dyDescent="0.2">
      <c r="B62" s="41"/>
      <c r="C62" s="497"/>
      <c r="D62" s="37"/>
      <c r="E62" s="131"/>
      <c r="F62" s="132"/>
      <c r="G62" s="132"/>
      <c r="H62" s="132"/>
      <c r="I62" s="132"/>
      <c r="J62" s="132"/>
    </row>
    <row r="63" spans="2:11" ht="16" x14ac:dyDescent="0.2">
      <c r="B63" s="41"/>
      <c r="C63" s="497"/>
      <c r="D63" s="37"/>
      <c r="E63" s="131"/>
      <c r="F63" s="132"/>
      <c r="G63" s="132"/>
      <c r="H63" s="132"/>
      <c r="I63" s="132"/>
      <c r="J63" s="132"/>
      <c r="K63" s="498"/>
    </row>
    <row r="64" spans="2:11" ht="16" x14ac:dyDescent="0.2">
      <c r="B64" s="41"/>
      <c r="C64" s="497"/>
      <c r="D64" s="37"/>
      <c r="E64" s="131"/>
      <c r="F64" s="132"/>
      <c r="G64" s="132"/>
      <c r="H64" s="132"/>
      <c r="I64" s="132"/>
      <c r="J64" s="132"/>
    </row>
    <row r="65" spans="2:11" ht="16" x14ac:dyDescent="0.2">
      <c r="B65" s="41"/>
      <c r="C65" s="497"/>
      <c r="D65" s="37"/>
      <c r="E65" s="131"/>
      <c r="F65" s="132"/>
      <c r="G65" s="132"/>
      <c r="H65" s="132"/>
      <c r="I65" s="132"/>
      <c r="J65" s="132"/>
    </row>
    <row r="66" spans="2:11" ht="16" x14ac:dyDescent="0.2">
      <c r="B66" s="41"/>
      <c r="C66" s="497"/>
      <c r="D66" s="37"/>
      <c r="E66" s="131"/>
      <c r="F66" s="132"/>
      <c r="G66" s="132"/>
      <c r="H66" s="132"/>
      <c r="I66" s="132"/>
      <c r="J66" s="132"/>
    </row>
    <row r="67" spans="2:11" ht="16" x14ac:dyDescent="0.2">
      <c r="B67" s="41"/>
      <c r="C67" s="497"/>
      <c r="D67" s="37"/>
      <c r="E67" s="131"/>
      <c r="F67" s="132"/>
      <c r="G67" s="132"/>
      <c r="H67" s="132"/>
      <c r="I67" s="132"/>
      <c r="J67" s="132"/>
      <c r="K67" s="498"/>
    </row>
    <row r="68" spans="2:11" ht="16" x14ac:dyDescent="0.2">
      <c r="B68" s="41"/>
      <c r="C68" s="497"/>
      <c r="D68" s="37"/>
      <c r="E68" s="131"/>
      <c r="F68" s="132"/>
      <c r="G68" s="132"/>
      <c r="H68" s="132"/>
      <c r="I68" s="132"/>
      <c r="J68" s="132"/>
      <c r="K68" s="498"/>
    </row>
    <row r="69" spans="2:11" ht="16" x14ac:dyDescent="0.2">
      <c r="B69" s="41"/>
      <c r="C69" s="497"/>
      <c r="D69" s="37"/>
      <c r="E69" s="131"/>
      <c r="F69" s="132"/>
      <c r="G69" s="132"/>
      <c r="H69" s="132"/>
      <c r="I69" s="132"/>
      <c r="J69" s="132"/>
      <c r="K69" s="498"/>
    </row>
    <row r="70" spans="2:11" ht="16" x14ac:dyDescent="0.2">
      <c r="B70" s="41"/>
      <c r="C70" s="497"/>
      <c r="D70" s="37"/>
      <c r="E70" s="131"/>
      <c r="F70" s="132"/>
      <c r="G70" s="132"/>
      <c r="H70" s="132"/>
      <c r="I70" s="132"/>
      <c r="J70" s="132"/>
      <c r="K70" s="498"/>
    </row>
    <row r="71" spans="2:11" ht="16" x14ac:dyDescent="0.2">
      <c r="B71" s="41"/>
      <c r="C71" s="497"/>
      <c r="D71" s="37"/>
      <c r="E71" s="131"/>
      <c r="F71" s="132"/>
      <c r="G71" s="132"/>
      <c r="H71" s="132"/>
      <c r="I71" s="132"/>
      <c r="J71" s="132"/>
      <c r="K71" s="498"/>
    </row>
    <row r="72" spans="2:11" ht="16" x14ac:dyDescent="0.2">
      <c r="B72" s="41"/>
      <c r="C72" s="497"/>
      <c r="D72" s="37"/>
      <c r="E72" s="131"/>
      <c r="F72" s="132"/>
      <c r="G72" s="132"/>
      <c r="H72" s="132"/>
      <c r="I72" s="132"/>
      <c r="J72" s="132"/>
      <c r="K72" s="498"/>
    </row>
    <row r="73" spans="2:11" ht="16" x14ac:dyDescent="0.2">
      <c r="B73" s="41"/>
      <c r="C73" s="497"/>
      <c r="D73" s="37"/>
      <c r="E73" s="131"/>
      <c r="F73" s="132"/>
      <c r="G73" s="132"/>
      <c r="H73" s="132"/>
      <c r="I73" s="132"/>
      <c r="J73" s="132"/>
      <c r="K73" s="498"/>
    </row>
    <row r="74" spans="2:11" ht="16" x14ac:dyDescent="0.2">
      <c r="B74" s="41"/>
      <c r="C74" s="497"/>
      <c r="D74" s="37"/>
      <c r="E74" s="131"/>
      <c r="F74" s="132"/>
      <c r="G74" s="132"/>
      <c r="H74" s="132"/>
      <c r="I74" s="132"/>
      <c r="J74" s="132"/>
      <c r="K74" s="498"/>
    </row>
    <row r="75" spans="2:11" ht="16" x14ac:dyDescent="0.2">
      <c r="B75" s="41"/>
      <c r="C75" s="497"/>
      <c r="D75" s="37"/>
      <c r="E75" s="131"/>
      <c r="F75" s="132"/>
      <c r="G75" s="132"/>
      <c r="H75" s="132"/>
      <c r="I75" s="132"/>
      <c r="J75" s="132"/>
      <c r="K75" s="498"/>
    </row>
    <row r="76" spans="2:11" ht="16" x14ac:dyDescent="0.2">
      <c r="B76" s="41"/>
      <c r="C76" s="497"/>
      <c r="D76" s="37"/>
      <c r="E76" s="131"/>
      <c r="F76" s="132"/>
      <c r="G76" s="132"/>
      <c r="H76" s="132"/>
      <c r="I76" s="132"/>
      <c r="J76" s="132"/>
      <c r="K76" s="498"/>
    </row>
    <row r="77" spans="2:11" ht="16" x14ac:dyDescent="0.2">
      <c r="B77" s="41"/>
      <c r="C77" s="497"/>
      <c r="D77" s="37"/>
      <c r="E77" s="131"/>
      <c r="F77" s="132"/>
      <c r="G77" s="132"/>
      <c r="H77" s="132"/>
      <c r="I77" s="132"/>
      <c r="J77" s="132"/>
      <c r="K77" s="498"/>
    </row>
    <row r="78" spans="2:11" ht="16" x14ac:dyDescent="0.2">
      <c r="B78" s="41"/>
      <c r="C78" s="497"/>
      <c r="D78" s="37"/>
      <c r="E78" s="131"/>
      <c r="F78" s="132"/>
      <c r="G78" s="132"/>
      <c r="H78" s="132"/>
      <c r="I78" s="132"/>
      <c r="J78" s="132"/>
    </row>
    <row r="79" spans="2:11" ht="16" x14ac:dyDescent="0.2">
      <c r="B79" s="41"/>
      <c r="C79" s="497"/>
      <c r="D79" s="37"/>
      <c r="E79" s="131"/>
      <c r="F79" s="132"/>
      <c r="G79" s="132"/>
      <c r="H79" s="132"/>
      <c r="I79" s="132"/>
      <c r="J79" s="132"/>
    </row>
    <row r="80" spans="2:11" ht="16" x14ac:dyDescent="0.2">
      <c r="B80" s="41"/>
      <c r="C80" s="497"/>
      <c r="D80" s="37"/>
      <c r="E80" s="131"/>
      <c r="F80" s="132"/>
      <c r="G80" s="132"/>
      <c r="H80" s="132"/>
      <c r="I80" s="132"/>
      <c r="J80" s="132"/>
    </row>
    <row r="81" spans="2:11" ht="16" x14ac:dyDescent="0.2">
      <c r="B81" s="41"/>
      <c r="C81" s="497"/>
      <c r="D81" s="37"/>
      <c r="E81" s="131"/>
      <c r="F81" s="132"/>
      <c r="G81" s="132"/>
      <c r="H81" s="132"/>
      <c r="I81" s="132"/>
      <c r="J81" s="132"/>
    </row>
    <row r="82" spans="2:11" ht="16" x14ac:dyDescent="0.2">
      <c r="B82" s="41"/>
      <c r="C82" s="497"/>
      <c r="D82" s="37"/>
      <c r="E82" s="131"/>
      <c r="F82" s="132"/>
      <c r="G82" s="132"/>
      <c r="H82" s="132"/>
      <c r="I82" s="132"/>
      <c r="J82" s="132"/>
      <c r="K82" s="498"/>
    </row>
    <row r="83" spans="2:11" ht="16" x14ac:dyDescent="0.2">
      <c r="B83" s="41"/>
      <c r="C83" s="497"/>
      <c r="D83" s="37"/>
      <c r="E83" s="131"/>
      <c r="F83" s="132"/>
      <c r="G83" s="132"/>
      <c r="H83" s="132"/>
      <c r="I83" s="132"/>
      <c r="J83" s="132"/>
      <c r="K83" s="498"/>
    </row>
    <row r="84" spans="2:11" ht="16" x14ac:dyDescent="0.2">
      <c r="B84" s="41"/>
      <c r="C84" s="497"/>
      <c r="D84" s="37"/>
      <c r="E84" s="131"/>
      <c r="F84" s="132"/>
      <c r="G84" s="132"/>
      <c r="H84" s="132"/>
      <c r="I84" s="132"/>
      <c r="J84" s="132"/>
      <c r="K84" s="498"/>
    </row>
    <row r="85" spans="2:11" ht="16" x14ac:dyDescent="0.2">
      <c r="B85" s="41"/>
      <c r="C85" s="497"/>
      <c r="D85" s="37"/>
      <c r="E85" s="131"/>
      <c r="F85" s="132"/>
      <c r="G85" s="132"/>
      <c r="H85" s="132"/>
      <c r="I85" s="132"/>
      <c r="J85" s="132"/>
    </row>
    <row r="86" spans="2:11" ht="16" x14ac:dyDescent="0.2">
      <c r="B86" s="41"/>
      <c r="C86" s="497"/>
      <c r="D86" s="37"/>
      <c r="E86" s="131"/>
      <c r="F86" s="132"/>
      <c r="G86" s="132"/>
      <c r="H86" s="132"/>
      <c r="I86" s="132"/>
      <c r="J86" s="132"/>
    </row>
    <row r="87" spans="2:11" ht="16" x14ac:dyDescent="0.2">
      <c r="B87" s="41"/>
      <c r="C87" s="497"/>
      <c r="D87" s="37"/>
      <c r="E87" s="131"/>
      <c r="F87" s="132"/>
      <c r="G87" s="132"/>
      <c r="H87" s="132"/>
      <c r="I87" s="132"/>
      <c r="J87" s="132"/>
    </row>
    <row r="88" spans="2:11" ht="16" x14ac:dyDescent="0.2">
      <c r="B88" s="41"/>
      <c r="C88" s="497"/>
      <c r="D88" s="37"/>
      <c r="E88" s="131"/>
      <c r="F88" s="132"/>
      <c r="G88" s="132"/>
      <c r="H88" s="132"/>
      <c r="I88" s="132"/>
      <c r="J88" s="132"/>
    </row>
    <row r="89" spans="2:11" ht="16" x14ac:dyDescent="0.2">
      <c r="B89" s="41"/>
      <c r="C89" s="497"/>
      <c r="D89" s="37"/>
      <c r="E89" s="131"/>
      <c r="F89" s="132"/>
      <c r="G89" s="132"/>
      <c r="H89" s="132"/>
      <c r="I89" s="132"/>
      <c r="J89" s="132"/>
    </row>
    <row r="90" spans="2:11" ht="16" x14ac:dyDescent="0.2">
      <c r="B90" s="41"/>
      <c r="C90" s="497"/>
      <c r="D90" s="37"/>
      <c r="E90" s="131"/>
      <c r="F90" s="132"/>
      <c r="G90" s="132"/>
      <c r="H90" s="132"/>
      <c r="I90" s="132"/>
      <c r="J90" s="132"/>
    </row>
    <row r="91" spans="2:11" ht="16" x14ac:dyDescent="0.2">
      <c r="B91" s="41"/>
      <c r="C91" s="497"/>
      <c r="D91" s="37"/>
      <c r="E91" s="131"/>
      <c r="F91" s="132"/>
      <c r="G91" s="132"/>
      <c r="H91" s="132"/>
      <c r="I91" s="132"/>
      <c r="J91" s="132"/>
    </row>
    <row r="92" spans="2:11" ht="16" x14ac:dyDescent="0.2">
      <c r="B92" s="41"/>
      <c r="C92" s="497"/>
      <c r="D92" s="37"/>
      <c r="E92" s="131"/>
      <c r="F92" s="132"/>
      <c r="G92" s="132"/>
      <c r="H92" s="132"/>
      <c r="I92" s="132"/>
      <c r="J92" s="132"/>
      <c r="K92" s="498"/>
    </row>
    <row r="93" spans="2:11" ht="16" x14ac:dyDescent="0.2">
      <c r="B93" s="41"/>
      <c r="C93" s="497"/>
      <c r="D93" s="37"/>
      <c r="E93" s="131"/>
      <c r="F93" s="132"/>
      <c r="G93" s="132"/>
      <c r="H93" s="132"/>
      <c r="I93" s="132"/>
      <c r="J93" s="132"/>
      <c r="K93" s="498"/>
    </row>
    <row r="94" spans="2:11" ht="16" x14ac:dyDescent="0.2">
      <c r="B94" s="41"/>
      <c r="C94" s="497"/>
      <c r="D94" s="37"/>
      <c r="E94" s="131"/>
      <c r="F94" s="132"/>
      <c r="G94" s="132"/>
      <c r="H94" s="132"/>
      <c r="I94" s="132"/>
      <c r="J94" s="132"/>
      <c r="K94" s="498"/>
    </row>
    <row r="95" spans="2:11" ht="16" x14ac:dyDescent="0.2">
      <c r="B95" s="41"/>
      <c r="C95" s="497"/>
      <c r="D95" s="37"/>
      <c r="E95" s="131"/>
      <c r="F95" s="132"/>
      <c r="G95" s="132"/>
      <c r="H95" s="132"/>
      <c r="I95" s="132"/>
      <c r="J95" s="132"/>
      <c r="K95" s="498"/>
    </row>
    <row r="96" spans="2:11" ht="16" x14ac:dyDescent="0.2">
      <c r="B96" s="41"/>
      <c r="C96" s="497"/>
      <c r="D96" s="37"/>
      <c r="E96" s="131"/>
      <c r="F96" s="132"/>
      <c r="G96" s="132"/>
      <c r="H96" s="132"/>
      <c r="I96" s="132"/>
      <c r="J96" s="132"/>
      <c r="K96" s="498"/>
    </row>
    <row r="97" spans="2:11" ht="16" x14ac:dyDescent="0.2">
      <c r="B97" s="41"/>
      <c r="C97" s="497"/>
      <c r="D97" s="37"/>
      <c r="E97" s="131"/>
      <c r="F97" s="132"/>
      <c r="G97" s="132"/>
      <c r="H97" s="132"/>
      <c r="I97" s="132"/>
      <c r="J97" s="132"/>
      <c r="K97" s="498"/>
    </row>
    <row r="98" spans="2:11" ht="16" x14ac:dyDescent="0.2">
      <c r="B98" s="41"/>
      <c r="C98" s="497"/>
      <c r="D98" s="37"/>
      <c r="E98" s="131"/>
      <c r="F98" s="132"/>
      <c r="G98" s="132"/>
      <c r="H98" s="132"/>
      <c r="I98" s="132"/>
      <c r="J98" s="132"/>
      <c r="K98" s="498"/>
    </row>
    <row r="99" spans="2:11" ht="16" x14ac:dyDescent="0.2">
      <c r="B99" s="41"/>
      <c r="C99" s="497"/>
      <c r="D99" s="37"/>
      <c r="E99" s="131"/>
      <c r="F99" s="132"/>
      <c r="G99" s="132"/>
      <c r="H99" s="132"/>
      <c r="I99" s="132"/>
      <c r="J99" s="132"/>
      <c r="K99" s="498"/>
    </row>
    <row r="100" spans="2:11" ht="16" x14ac:dyDescent="0.2">
      <c r="B100" s="41"/>
      <c r="C100" s="497"/>
      <c r="D100" s="37"/>
      <c r="E100" s="131"/>
      <c r="F100" s="132"/>
      <c r="G100" s="132"/>
      <c r="H100" s="132"/>
      <c r="I100" s="132"/>
      <c r="J100" s="132"/>
    </row>
    <row r="101" spans="2:11" ht="16" x14ac:dyDescent="0.2">
      <c r="B101" s="41"/>
      <c r="C101" s="497"/>
      <c r="D101" s="37"/>
      <c r="E101" s="131"/>
      <c r="F101" s="132"/>
      <c r="G101" s="132"/>
      <c r="H101" s="132"/>
      <c r="I101" s="132"/>
      <c r="J101" s="132"/>
    </row>
    <row r="102" spans="2:11" ht="16" x14ac:dyDescent="0.2">
      <c r="B102" s="41"/>
      <c r="C102" s="497"/>
      <c r="D102" s="37"/>
      <c r="E102" s="131"/>
      <c r="F102" s="132"/>
      <c r="G102" s="132"/>
      <c r="H102" s="132"/>
      <c r="I102" s="132"/>
      <c r="J102" s="132"/>
    </row>
    <row r="103" spans="2:11" ht="16" x14ac:dyDescent="0.2">
      <c r="B103" s="41"/>
      <c r="C103" s="497"/>
      <c r="D103" s="37"/>
      <c r="E103" s="131"/>
      <c r="F103" s="132"/>
      <c r="G103" s="132"/>
      <c r="H103" s="132"/>
      <c r="I103" s="132"/>
      <c r="J103" s="132"/>
    </row>
    <row r="104" spans="2:11" ht="16" x14ac:dyDescent="0.2">
      <c r="B104" s="41"/>
      <c r="C104" s="497"/>
      <c r="D104" s="37"/>
      <c r="E104" s="131"/>
      <c r="F104" s="132"/>
      <c r="G104" s="132"/>
      <c r="H104" s="132"/>
      <c r="I104" s="132"/>
      <c r="J104" s="132"/>
      <c r="K104" s="498"/>
    </row>
    <row r="105" spans="2:11" ht="16" x14ac:dyDescent="0.2">
      <c r="B105" s="41"/>
      <c r="C105" s="497"/>
      <c r="D105" s="37"/>
      <c r="E105" s="131"/>
      <c r="F105" s="132"/>
      <c r="G105" s="132"/>
      <c r="H105" s="132"/>
      <c r="I105" s="132"/>
      <c r="J105" s="132"/>
    </row>
    <row r="106" spans="2:11" ht="16" x14ac:dyDescent="0.2">
      <c r="B106" s="41"/>
      <c r="C106" s="497"/>
      <c r="D106" s="37"/>
      <c r="E106" s="131"/>
      <c r="F106" s="132"/>
      <c r="G106" s="132"/>
      <c r="H106" s="132"/>
      <c r="I106" s="132"/>
      <c r="J106" s="132"/>
    </row>
    <row r="107" spans="2:11" ht="16" x14ac:dyDescent="0.2">
      <c r="B107" s="41"/>
      <c r="C107" s="497"/>
      <c r="D107" s="37"/>
      <c r="E107" s="131"/>
      <c r="F107" s="132"/>
      <c r="G107" s="132"/>
      <c r="H107" s="132"/>
      <c r="I107" s="132"/>
      <c r="J107" s="132"/>
    </row>
    <row r="108" spans="2:11" ht="16" x14ac:dyDescent="0.2">
      <c r="B108" s="41"/>
      <c r="C108" s="497"/>
      <c r="D108" s="37"/>
      <c r="E108" s="131"/>
      <c r="F108" s="132"/>
      <c r="G108" s="132"/>
      <c r="H108" s="132"/>
      <c r="I108" s="132"/>
      <c r="J108" s="132"/>
    </row>
    <row r="109" spans="2:11" ht="16" x14ac:dyDescent="0.2">
      <c r="B109" s="41"/>
      <c r="C109" s="497"/>
      <c r="D109" s="37"/>
      <c r="E109" s="131"/>
      <c r="F109" s="132"/>
      <c r="G109" s="132"/>
      <c r="H109" s="132"/>
      <c r="I109" s="132"/>
      <c r="J109" s="132"/>
    </row>
    <row r="110" spans="2:11" ht="16" x14ac:dyDescent="0.2">
      <c r="B110" s="41"/>
      <c r="C110" s="497"/>
      <c r="D110" s="37"/>
      <c r="E110" s="131"/>
      <c r="F110" s="132"/>
      <c r="G110" s="132"/>
      <c r="H110" s="132"/>
      <c r="I110" s="132"/>
      <c r="J110" s="132"/>
    </row>
    <row r="111" spans="2:11" ht="16" x14ac:dyDescent="0.2">
      <c r="B111" s="41"/>
      <c r="C111" s="497"/>
      <c r="D111" s="37"/>
      <c r="E111" s="131"/>
      <c r="F111" s="132"/>
      <c r="G111" s="132"/>
      <c r="H111" s="132"/>
      <c r="I111" s="132"/>
      <c r="J111" s="132"/>
    </row>
    <row r="112" spans="2:11" ht="16" x14ac:dyDescent="0.2">
      <c r="B112" s="41"/>
      <c r="C112" s="497"/>
      <c r="D112" s="37"/>
      <c r="E112" s="131"/>
      <c r="F112" s="132"/>
      <c r="G112" s="132"/>
      <c r="H112" s="132"/>
      <c r="I112" s="132"/>
      <c r="J112" s="132"/>
      <c r="K112" s="498"/>
    </row>
    <row r="113" spans="2:11" ht="16" x14ac:dyDescent="0.2">
      <c r="B113" s="41"/>
      <c r="C113" s="497"/>
      <c r="D113" s="37"/>
      <c r="E113" s="131"/>
      <c r="F113" s="132"/>
      <c r="G113" s="132"/>
      <c r="H113" s="132"/>
      <c r="I113" s="132"/>
      <c r="J113" s="132"/>
      <c r="K113" s="498"/>
    </row>
    <row r="114" spans="2:11" ht="16" x14ac:dyDescent="0.2">
      <c r="B114" s="41"/>
      <c r="C114" s="497"/>
      <c r="D114" s="37"/>
      <c r="E114" s="131"/>
      <c r="F114" s="132"/>
      <c r="G114" s="132"/>
      <c r="H114" s="132"/>
      <c r="I114" s="132"/>
      <c r="J114" s="132"/>
    </row>
    <row r="115" spans="2:11" ht="16" x14ac:dyDescent="0.2">
      <c r="B115" s="41"/>
      <c r="C115" s="497"/>
      <c r="D115" s="37"/>
      <c r="E115" s="131"/>
      <c r="F115" s="132"/>
      <c r="G115" s="132"/>
      <c r="H115" s="132"/>
      <c r="I115" s="132"/>
      <c r="J115" s="132"/>
    </row>
    <row r="116" spans="2:11" ht="16" x14ac:dyDescent="0.2">
      <c r="B116" s="41"/>
      <c r="C116" s="497"/>
      <c r="D116" s="37"/>
      <c r="E116" s="131"/>
      <c r="F116" s="132"/>
      <c r="G116" s="132"/>
      <c r="H116" s="132"/>
      <c r="I116" s="132"/>
      <c r="J116" s="132"/>
    </row>
    <row r="117" spans="2:11" ht="16" x14ac:dyDescent="0.2">
      <c r="B117" s="41"/>
      <c r="C117" s="497"/>
      <c r="D117" s="37"/>
      <c r="E117" s="131"/>
      <c r="F117" s="132"/>
      <c r="G117" s="132"/>
      <c r="H117" s="132"/>
      <c r="I117" s="132"/>
      <c r="J117" s="132"/>
    </row>
    <row r="118" spans="2:11" ht="16" x14ac:dyDescent="0.2">
      <c r="B118" s="41"/>
      <c r="C118" s="497"/>
      <c r="D118" s="37"/>
      <c r="E118" s="131"/>
      <c r="F118" s="132"/>
      <c r="G118" s="132"/>
      <c r="H118" s="132"/>
      <c r="I118" s="132"/>
      <c r="J118" s="132"/>
    </row>
    <row r="119" spans="2:11" ht="16" x14ac:dyDescent="0.2">
      <c r="B119" s="41"/>
      <c r="C119" s="497"/>
      <c r="D119" s="37"/>
      <c r="E119" s="131"/>
      <c r="F119" s="132"/>
      <c r="G119" s="132"/>
      <c r="H119" s="132"/>
      <c r="I119" s="132"/>
      <c r="J119" s="132"/>
    </row>
    <row r="120" spans="2:11" ht="16" x14ac:dyDescent="0.2">
      <c r="B120" s="41"/>
      <c r="C120" s="497"/>
      <c r="D120" s="37"/>
      <c r="E120" s="131"/>
      <c r="F120" s="132"/>
      <c r="G120" s="132"/>
      <c r="H120" s="132"/>
      <c r="I120" s="132"/>
      <c r="J120" s="132"/>
      <c r="K120" s="498"/>
    </row>
    <row r="121" spans="2:11" ht="16" x14ac:dyDescent="0.2">
      <c r="B121" s="41"/>
      <c r="C121" s="497"/>
      <c r="D121" s="37"/>
      <c r="E121" s="131"/>
      <c r="F121" s="132"/>
      <c r="G121" s="132"/>
      <c r="H121" s="132"/>
      <c r="I121" s="132"/>
      <c r="J121" s="132"/>
      <c r="K121" s="498"/>
    </row>
    <row r="122" spans="2:11" ht="16" x14ac:dyDescent="0.2">
      <c r="B122" s="41"/>
      <c r="C122" s="497"/>
      <c r="D122" s="37"/>
      <c r="E122" s="131"/>
      <c r="F122" s="132"/>
      <c r="G122" s="132"/>
      <c r="H122" s="132"/>
      <c r="I122" s="132"/>
      <c r="J122" s="132"/>
      <c r="K122" s="498"/>
    </row>
    <row r="123" spans="2:11" ht="16" x14ac:dyDescent="0.2">
      <c r="B123" s="41"/>
      <c r="C123" s="497"/>
      <c r="D123" s="37"/>
      <c r="E123" s="131"/>
      <c r="F123" s="132"/>
      <c r="G123" s="132"/>
      <c r="H123" s="132"/>
      <c r="I123" s="132"/>
      <c r="J123" s="132"/>
      <c r="K123" s="498"/>
    </row>
    <row r="124" spans="2:11" ht="16" x14ac:dyDescent="0.2">
      <c r="B124" s="41"/>
      <c r="C124" s="497"/>
      <c r="D124" s="37"/>
      <c r="E124" s="131"/>
      <c r="F124" s="132"/>
      <c r="G124" s="132"/>
      <c r="H124" s="132"/>
      <c r="I124" s="132"/>
      <c r="J124" s="132"/>
      <c r="K124" s="498"/>
    </row>
    <row r="125" spans="2:11" ht="16" x14ac:dyDescent="0.2">
      <c r="B125" s="41"/>
      <c r="C125" s="497"/>
      <c r="D125" s="37"/>
      <c r="E125" s="131"/>
      <c r="F125" s="132"/>
      <c r="G125" s="132"/>
      <c r="H125" s="132"/>
      <c r="I125" s="132"/>
      <c r="J125" s="132"/>
      <c r="K125" s="498"/>
    </row>
    <row r="126" spans="2:11" ht="16" x14ac:dyDescent="0.2">
      <c r="B126" s="41"/>
      <c r="C126" s="497"/>
      <c r="D126" s="37"/>
      <c r="E126" s="131"/>
      <c r="F126" s="132"/>
      <c r="G126" s="132"/>
      <c r="H126" s="132"/>
      <c r="I126" s="132"/>
      <c r="J126" s="132"/>
    </row>
    <row r="127" spans="2:11" ht="16" x14ac:dyDescent="0.2">
      <c r="B127" s="41"/>
      <c r="C127" s="497"/>
      <c r="D127" s="37"/>
      <c r="E127" s="131"/>
      <c r="F127" s="132"/>
      <c r="G127" s="132"/>
      <c r="H127" s="132"/>
      <c r="I127" s="132"/>
      <c r="J127" s="132"/>
      <c r="K127" s="498"/>
    </row>
    <row r="128" spans="2:11" ht="16" x14ac:dyDescent="0.2">
      <c r="B128" s="41"/>
      <c r="C128" s="497"/>
      <c r="D128" s="37"/>
      <c r="E128" s="131"/>
      <c r="F128" s="132"/>
      <c r="G128" s="132"/>
      <c r="H128" s="132"/>
      <c r="I128" s="132"/>
      <c r="J128" s="132"/>
      <c r="K128" s="498"/>
    </row>
    <row r="129" spans="2:11" ht="16" x14ac:dyDescent="0.2">
      <c r="B129" s="41"/>
      <c r="C129" s="497"/>
      <c r="D129" s="37"/>
      <c r="E129" s="131"/>
      <c r="F129" s="132"/>
      <c r="G129" s="132"/>
      <c r="H129" s="132"/>
      <c r="I129" s="132"/>
      <c r="J129" s="132"/>
      <c r="K129" s="498"/>
    </row>
    <row r="130" spans="2:11" ht="16" x14ac:dyDescent="0.2">
      <c r="B130" s="41"/>
      <c r="C130" s="497"/>
      <c r="D130" s="37"/>
      <c r="E130" s="131"/>
      <c r="F130" s="132"/>
      <c r="G130" s="132"/>
      <c r="H130" s="132"/>
      <c r="I130" s="132"/>
      <c r="J130" s="132"/>
    </row>
    <row r="131" spans="2:11" ht="16" x14ac:dyDescent="0.2">
      <c r="B131" s="41"/>
      <c r="C131" s="497"/>
      <c r="D131" s="37"/>
      <c r="E131" s="131"/>
      <c r="F131" s="132"/>
      <c r="G131" s="132"/>
      <c r="H131" s="132"/>
      <c r="I131" s="132"/>
      <c r="J131" s="132"/>
    </row>
    <row r="132" spans="2:11" ht="16" x14ac:dyDescent="0.2">
      <c r="B132" s="41"/>
      <c r="C132" s="497"/>
      <c r="D132" s="37"/>
      <c r="E132" s="131"/>
      <c r="F132" s="132"/>
      <c r="G132" s="132"/>
      <c r="H132" s="132"/>
      <c r="I132" s="132"/>
      <c r="J132" s="132"/>
      <c r="K132" s="498"/>
    </row>
    <row r="133" spans="2:11" ht="16" x14ac:dyDescent="0.2">
      <c r="B133" s="41"/>
      <c r="C133" s="497"/>
      <c r="D133" s="37"/>
      <c r="E133" s="131"/>
      <c r="F133" s="132"/>
      <c r="G133" s="132"/>
      <c r="H133" s="132"/>
      <c r="I133" s="132"/>
      <c r="J133" s="132"/>
    </row>
    <row r="134" spans="2:11" ht="16" x14ac:dyDescent="0.2">
      <c r="B134" s="41"/>
      <c r="C134" s="497"/>
      <c r="D134" s="37"/>
      <c r="E134" s="131"/>
      <c r="F134" s="132"/>
      <c r="G134" s="132"/>
      <c r="H134" s="132"/>
      <c r="I134" s="132"/>
      <c r="J134" s="132"/>
    </row>
    <row r="135" spans="2:11" ht="16" x14ac:dyDescent="0.2">
      <c r="B135" s="41"/>
      <c r="C135" s="497"/>
      <c r="D135" s="37"/>
      <c r="E135" s="131"/>
      <c r="F135" s="132"/>
      <c r="G135" s="132"/>
      <c r="H135" s="132"/>
      <c r="I135" s="132"/>
      <c r="J135" s="132"/>
    </row>
    <row r="136" spans="2:11" ht="16" x14ac:dyDescent="0.2">
      <c r="B136" s="41"/>
      <c r="C136" s="497"/>
      <c r="D136" s="37"/>
      <c r="E136" s="131"/>
      <c r="F136" s="132"/>
      <c r="G136" s="132"/>
      <c r="H136" s="132"/>
      <c r="I136" s="132"/>
      <c r="J136" s="132"/>
    </row>
    <row r="137" spans="2:11" ht="16" x14ac:dyDescent="0.2">
      <c r="B137" s="41"/>
      <c r="C137" s="497"/>
      <c r="D137" s="37"/>
      <c r="E137" s="131"/>
      <c r="F137" s="132"/>
      <c r="G137" s="132"/>
      <c r="H137" s="132"/>
      <c r="I137" s="132"/>
      <c r="J137" s="132"/>
    </row>
    <row r="138" spans="2:11" ht="16" x14ac:dyDescent="0.2">
      <c r="B138" s="41"/>
      <c r="C138" s="497"/>
      <c r="D138" s="37"/>
      <c r="E138" s="131"/>
      <c r="F138" s="132"/>
      <c r="G138" s="132"/>
      <c r="H138" s="132"/>
      <c r="I138" s="132"/>
      <c r="J138" s="132"/>
      <c r="K138" s="498"/>
    </row>
    <row r="139" spans="2:11" ht="16" x14ac:dyDescent="0.2">
      <c r="B139" s="41"/>
      <c r="C139" s="497"/>
      <c r="D139" s="37"/>
      <c r="E139" s="131"/>
      <c r="F139" s="132"/>
      <c r="G139" s="132"/>
      <c r="H139" s="132"/>
      <c r="I139" s="132"/>
      <c r="J139" s="132"/>
      <c r="K139" s="498"/>
    </row>
    <row r="140" spans="2:11" ht="16" x14ac:dyDescent="0.2">
      <c r="B140" s="41"/>
      <c r="C140" s="497"/>
      <c r="D140" s="37"/>
      <c r="E140" s="131"/>
      <c r="F140" s="132"/>
      <c r="G140" s="132"/>
      <c r="H140" s="132"/>
      <c r="I140" s="132"/>
      <c r="J140" s="132"/>
      <c r="K140" s="498"/>
    </row>
    <row r="141" spans="2:11" ht="16" x14ac:dyDescent="0.2">
      <c r="B141" s="41"/>
      <c r="C141" s="497"/>
      <c r="D141" s="37"/>
      <c r="E141" s="131"/>
      <c r="F141" s="132"/>
      <c r="G141" s="132"/>
      <c r="H141" s="132"/>
      <c r="I141" s="132"/>
      <c r="J141" s="132"/>
      <c r="K141" s="498"/>
    </row>
    <row r="142" spans="2:11" ht="16" x14ac:dyDescent="0.2">
      <c r="B142" s="41"/>
      <c r="C142" s="497"/>
      <c r="D142" s="37"/>
      <c r="E142" s="131"/>
      <c r="F142" s="132"/>
      <c r="G142" s="132"/>
      <c r="H142" s="132"/>
      <c r="I142" s="132"/>
      <c r="J142" s="132"/>
      <c r="K142" s="498"/>
    </row>
    <row r="143" spans="2:11" ht="16" x14ac:dyDescent="0.2">
      <c r="B143" s="41"/>
      <c r="C143" s="497"/>
      <c r="D143" s="37"/>
      <c r="E143" s="131"/>
      <c r="F143" s="132"/>
      <c r="G143" s="132"/>
      <c r="H143" s="132"/>
      <c r="I143" s="132"/>
      <c r="J143" s="132"/>
      <c r="K143" s="498"/>
    </row>
    <row r="144" spans="2:11" ht="16" x14ac:dyDescent="0.2">
      <c r="B144" s="41"/>
      <c r="C144" s="497"/>
      <c r="D144" s="37"/>
      <c r="E144" s="131"/>
      <c r="F144" s="132"/>
      <c r="G144" s="132"/>
      <c r="H144" s="132"/>
      <c r="I144" s="132"/>
      <c r="J144" s="132"/>
    </row>
    <row r="145" spans="2:11" ht="16" x14ac:dyDescent="0.2">
      <c r="B145" s="41"/>
      <c r="C145" s="497"/>
      <c r="D145" s="37"/>
      <c r="E145" s="131"/>
      <c r="F145" s="132"/>
      <c r="G145" s="132"/>
      <c r="H145" s="132"/>
      <c r="I145" s="132"/>
    </row>
    <row r="146" spans="2:11" ht="16" x14ac:dyDescent="0.2">
      <c r="B146" s="41"/>
      <c r="C146" s="497"/>
      <c r="J146" s="132"/>
      <c r="K146" s="500"/>
    </row>
    <row r="147" spans="2:11" ht="16" x14ac:dyDescent="0.2">
      <c r="B147" s="41"/>
      <c r="C147" s="497"/>
      <c r="D147" s="37"/>
    </row>
    <row r="148" spans="2:11" ht="16" x14ac:dyDescent="0.2">
      <c r="B148" s="41"/>
      <c r="C148" s="497"/>
      <c r="D148" s="37"/>
    </row>
    <row r="149" spans="2:11" ht="16" x14ac:dyDescent="0.2">
      <c r="B149" s="41"/>
      <c r="C149" s="497"/>
      <c r="D149" s="37"/>
    </row>
    <row r="150" spans="2:11" ht="16" x14ac:dyDescent="0.2">
      <c r="B150" s="41"/>
      <c r="C150" s="497"/>
      <c r="D150" s="37"/>
      <c r="K150" s="498"/>
    </row>
    <row r="151" spans="2:11" ht="16" x14ac:dyDescent="0.2">
      <c r="B151" s="41"/>
      <c r="C151" s="497"/>
      <c r="D151" s="37"/>
    </row>
    <row r="152" spans="2:11" ht="16" x14ac:dyDescent="0.2">
      <c r="B152" s="41"/>
      <c r="C152" s="497"/>
      <c r="D152" s="37"/>
      <c r="K152" s="498"/>
    </row>
    <row r="153" spans="2:11" ht="16" x14ac:dyDescent="0.2">
      <c r="B153" s="41"/>
      <c r="C153" s="497"/>
      <c r="D153" s="37"/>
    </row>
    <row r="154" spans="2:11" ht="16" x14ac:dyDescent="0.2">
      <c r="B154" s="41"/>
      <c r="C154" s="497"/>
      <c r="D154" s="37"/>
      <c r="K154" s="498"/>
    </row>
    <row r="155" spans="2:11" ht="16" x14ac:dyDescent="0.2">
      <c r="B155" s="41"/>
      <c r="C155" s="497"/>
      <c r="D155" s="37"/>
      <c r="K155" s="498"/>
    </row>
    <row r="156" spans="2:11" ht="16" x14ac:dyDescent="0.2">
      <c r="B156" s="41"/>
      <c r="C156" s="497"/>
      <c r="D156" s="37"/>
      <c r="K156" s="285"/>
    </row>
    <row r="157" spans="2:11" ht="16" x14ac:dyDescent="0.2">
      <c r="B157" s="41"/>
      <c r="C157" s="497"/>
      <c r="D157" s="37"/>
    </row>
    <row r="158" spans="2:11" ht="16" x14ac:dyDescent="0.2">
      <c r="B158" s="41"/>
      <c r="C158" s="497"/>
      <c r="D158" s="37"/>
    </row>
    <row r="159" spans="2:11" ht="16" x14ac:dyDescent="0.2">
      <c r="B159" s="41"/>
      <c r="C159" s="497"/>
      <c r="D159" s="37"/>
    </row>
    <row r="160" spans="2:11" ht="16" x14ac:dyDescent="0.2">
      <c r="B160" s="41"/>
      <c r="C160" s="497"/>
      <c r="D160" s="37"/>
      <c r="K160" s="498"/>
    </row>
    <row r="161" spans="2:11" ht="16" x14ac:dyDescent="0.2">
      <c r="B161" s="41"/>
      <c r="C161" s="497"/>
      <c r="D161" s="37"/>
    </row>
    <row r="162" spans="2:11" ht="16" x14ac:dyDescent="0.2">
      <c r="B162" s="41"/>
      <c r="C162" s="497"/>
      <c r="D162" s="37"/>
      <c r="K162" s="498"/>
    </row>
    <row r="163" spans="2:11" ht="16" x14ac:dyDescent="0.2">
      <c r="B163" s="41"/>
      <c r="C163" s="497"/>
      <c r="D163" s="37"/>
      <c r="K163" s="498"/>
    </row>
    <row r="164" spans="2:11" ht="16" x14ac:dyDescent="0.2">
      <c r="B164" s="41"/>
      <c r="C164" s="497"/>
      <c r="D164" s="37"/>
      <c r="K164" s="498"/>
    </row>
    <row r="165" spans="2:11" ht="16" x14ac:dyDescent="0.2">
      <c r="B165" s="41"/>
      <c r="C165" s="497"/>
      <c r="D165" s="37"/>
      <c r="K165" s="498"/>
    </row>
    <row r="166" spans="2:11" ht="16" x14ac:dyDescent="0.2">
      <c r="B166" s="41"/>
      <c r="C166" s="497"/>
      <c r="D166" s="37"/>
      <c r="K166" s="498"/>
    </row>
    <row r="167" spans="2:11" ht="16" x14ac:dyDescent="0.2">
      <c r="B167" s="41"/>
      <c r="C167" s="497"/>
      <c r="D167" s="37"/>
      <c r="K167" s="498"/>
    </row>
    <row r="168" spans="2:11" ht="16" x14ac:dyDescent="0.2">
      <c r="B168" s="41"/>
      <c r="C168" s="497"/>
      <c r="D168" s="37"/>
      <c r="K168" s="498"/>
    </row>
    <row r="169" spans="2:11" ht="16" x14ac:dyDescent="0.2">
      <c r="B169" s="41"/>
      <c r="C169" s="497"/>
      <c r="D169" s="37"/>
      <c r="K169" s="498"/>
    </row>
    <row r="170" spans="2:11" ht="16" x14ac:dyDescent="0.2">
      <c r="B170" s="41"/>
      <c r="C170" s="497"/>
      <c r="D170" s="37"/>
    </row>
    <row r="171" spans="2:11" ht="16" x14ac:dyDescent="0.2">
      <c r="B171" s="41"/>
      <c r="C171" s="497"/>
      <c r="D171" s="37"/>
    </row>
    <row r="172" spans="2:11" ht="16" x14ac:dyDescent="0.2">
      <c r="B172" s="41"/>
      <c r="C172" s="497"/>
      <c r="D172" s="37"/>
    </row>
    <row r="173" spans="2:11" ht="16" x14ac:dyDescent="0.2">
      <c r="B173" s="41"/>
      <c r="C173" s="497"/>
      <c r="D173" s="37"/>
    </row>
    <row r="174" spans="2:11" ht="16" x14ac:dyDescent="0.2">
      <c r="B174" s="41"/>
      <c r="C174" s="497"/>
      <c r="D174" s="37"/>
    </row>
    <row r="175" spans="2:11" ht="16" x14ac:dyDescent="0.2">
      <c r="B175" s="41"/>
      <c r="C175" s="497"/>
      <c r="D175" s="37"/>
    </row>
    <row r="176" spans="2:11" ht="16" x14ac:dyDescent="0.2">
      <c r="B176" s="41"/>
      <c r="C176" s="497"/>
      <c r="D176" s="37"/>
      <c r="K176" s="498"/>
    </row>
    <row r="177" spans="1:42" ht="16" x14ac:dyDescent="0.2">
      <c r="B177" s="41"/>
      <c r="C177" s="497"/>
      <c r="D177" s="37"/>
      <c r="K177" s="498"/>
    </row>
    <row r="178" spans="1:42" ht="16" x14ac:dyDescent="0.2">
      <c r="B178" s="41"/>
      <c r="C178" s="497"/>
      <c r="D178" s="37"/>
      <c r="K178" s="498"/>
    </row>
    <row r="179" spans="1:42" ht="16" x14ac:dyDescent="0.2">
      <c r="B179" s="41"/>
      <c r="C179" s="497"/>
      <c r="D179" s="37"/>
    </row>
    <row r="180" spans="1:42" ht="16" x14ac:dyDescent="0.2">
      <c r="B180" s="41"/>
      <c r="C180" s="497"/>
      <c r="D180" s="37"/>
      <c r="K180" s="498"/>
    </row>
    <row r="181" spans="1:42" ht="16" x14ac:dyDescent="0.2">
      <c r="B181" s="41"/>
      <c r="C181" s="497"/>
      <c r="D181" s="37"/>
      <c r="K181" s="498"/>
    </row>
    <row r="182" spans="1:42" ht="16" x14ac:dyDescent="0.2">
      <c r="B182" s="41"/>
      <c r="C182" s="497"/>
      <c r="D182" s="37"/>
      <c r="K182" s="498"/>
    </row>
    <row r="183" spans="1:42" s="144" customFormat="1" ht="16" x14ac:dyDescent="0.2">
      <c r="A183" s="97"/>
      <c r="B183" s="41"/>
      <c r="C183" s="497"/>
      <c r="D183" s="277"/>
      <c r="E183" s="278"/>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row>
    <row r="184" spans="1:42" ht="16" x14ac:dyDescent="0.2">
      <c r="B184" s="41"/>
      <c r="C184" s="497"/>
      <c r="D184" s="37"/>
    </row>
    <row r="185" spans="1:42" ht="16" x14ac:dyDescent="0.2">
      <c r="B185" s="41"/>
      <c r="C185" s="497"/>
      <c r="D185" s="37"/>
    </row>
    <row r="186" spans="1:42" ht="16" x14ac:dyDescent="0.2">
      <c r="B186" s="41"/>
      <c r="C186" s="497"/>
      <c r="D186" s="37"/>
    </row>
    <row r="187" spans="1:42" ht="16" x14ac:dyDescent="0.2">
      <c r="B187" s="41"/>
      <c r="C187" s="497"/>
      <c r="D187" s="37"/>
    </row>
    <row r="188" spans="1:42" ht="16" x14ac:dyDescent="0.2">
      <c r="B188" s="41"/>
      <c r="C188" s="497"/>
      <c r="D188" s="37"/>
      <c r="K188" s="498"/>
    </row>
    <row r="189" spans="1:42" ht="16" x14ac:dyDescent="0.2">
      <c r="B189" s="41"/>
      <c r="C189" s="497"/>
      <c r="D189" s="37"/>
      <c r="K189" s="498"/>
    </row>
    <row r="190" spans="1:42" ht="16" x14ac:dyDescent="0.2">
      <c r="B190" s="41"/>
      <c r="C190" s="497"/>
      <c r="D190" s="37"/>
      <c r="K190" s="498"/>
    </row>
    <row r="191" spans="1:42" ht="16" x14ac:dyDescent="0.2">
      <c r="B191" s="41"/>
      <c r="C191" s="497"/>
      <c r="D191" s="37"/>
      <c r="K191" s="498"/>
    </row>
    <row r="192" spans="1:42" ht="16" x14ac:dyDescent="0.2">
      <c r="B192" s="41"/>
      <c r="C192" s="497"/>
      <c r="D192" s="37"/>
      <c r="K192" s="498"/>
    </row>
    <row r="193" spans="1:11" ht="16" x14ac:dyDescent="0.2">
      <c r="B193" s="41"/>
      <c r="C193" s="497"/>
      <c r="D193" s="37"/>
      <c r="K193" s="498"/>
    </row>
    <row r="194" spans="1:11" ht="16" x14ac:dyDescent="0.2">
      <c r="A194" s="97"/>
      <c r="B194" s="41"/>
      <c r="C194" s="497"/>
      <c r="D194" s="37"/>
    </row>
    <row r="195" spans="1:11" ht="16" x14ac:dyDescent="0.2">
      <c r="B195" s="41"/>
      <c r="C195" s="497"/>
      <c r="D195" s="37"/>
      <c r="K195" s="498"/>
    </row>
    <row r="196" spans="1:11" ht="16" x14ac:dyDescent="0.2">
      <c r="B196" s="41"/>
      <c r="C196" s="497"/>
      <c r="D196" s="37"/>
    </row>
    <row r="197" spans="1:11" ht="16" x14ac:dyDescent="0.2">
      <c r="B197" s="41"/>
      <c r="C197" s="497"/>
      <c r="D197" s="37"/>
    </row>
    <row r="198" spans="1:11" ht="16" x14ac:dyDescent="0.2">
      <c r="B198" s="41"/>
      <c r="C198" s="497"/>
      <c r="D198" s="37"/>
    </row>
    <row r="199" spans="1:11" ht="16" x14ac:dyDescent="0.2">
      <c r="B199" s="41"/>
      <c r="C199" s="497"/>
      <c r="D199" s="37"/>
      <c r="K199" s="498"/>
    </row>
    <row r="200" spans="1:11" ht="16" x14ac:dyDescent="0.2">
      <c r="B200" s="41"/>
      <c r="C200" s="497"/>
      <c r="D200" s="37"/>
      <c r="K200" s="498"/>
    </row>
    <row r="201" spans="1:11" ht="16" x14ac:dyDescent="0.2">
      <c r="B201" s="41"/>
      <c r="C201" s="497"/>
      <c r="D201" s="37"/>
    </row>
    <row r="202" spans="1:11" ht="16" x14ac:dyDescent="0.2">
      <c r="B202" s="41"/>
      <c r="C202" s="497"/>
      <c r="D202" s="37"/>
    </row>
    <row r="203" spans="1:11" ht="16" x14ac:dyDescent="0.2">
      <c r="B203" s="41"/>
      <c r="C203" s="497"/>
      <c r="D203" s="37"/>
    </row>
    <row r="204" spans="1:11" ht="16" x14ac:dyDescent="0.2">
      <c r="B204" s="41" t="e">
        <f>IF(H204="credit",#REF!, (#REF!* -1))</f>
        <v>#REF!</v>
      </c>
      <c r="C204" s="497" t="e">
        <f t="shared" ref="C204:C259" si="1">C203+B204</f>
        <v>#REF!</v>
      </c>
      <c r="D204" s="37"/>
    </row>
    <row r="205" spans="1:11" ht="16" x14ac:dyDescent="0.2">
      <c r="B205" s="41" t="e">
        <f>IF(H205="credit",#REF!, (#REF!* -1))</f>
        <v>#REF!</v>
      </c>
      <c r="C205" s="497" t="e">
        <f t="shared" si="1"/>
        <v>#REF!</v>
      </c>
      <c r="D205" s="37"/>
    </row>
    <row r="206" spans="1:11" ht="16" x14ac:dyDescent="0.2">
      <c r="B206" s="41" t="e">
        <f>IF(H206="credit",#REF!, (#REF!* -1))</f>
        <v>#REF!</v>
      </c>
      <c r="C206" s="497" t="e">
        <f t="shared" si="1"/>
        <v>#REF!</v>
      </c>
      <c r="D206" s="37"/>
    </row>
    <row r="207" spans="1:11" ht="16" x14ac:dyDescent="0.2">
      <c r="B207" s="41" t="e">
        <f>IF(H207="credit",#REF!, (#REF!* -1))</f>
        <v>#REF!</v>
      </c>
      <c r="C207" s="497" t="e">
        <f t="shared" si="1"/>
        <v>#REF!</v>
      </c>
      <c r="D207" s="37"/>
    </row>
    <row r="208" spans="1:11" ht="16" x14ac:dyDescent="0.2">
      <c r="B208" s="41" t="e">
        <f>IF(H208="credit",#REF!, (#REF!* -1))</f>
        <v>#REF!</v>
      </c>
      <c r="C208" s="497" t="e">
        <f t="shared" si="1"/>
        <v>#REF!</v>
      </c>
      <c r="D208" s="37"/>
    </row>
    <row r="209" spans="1:11" ht="16" x14ac:dyDescent="0.2">
      <c r="B209" s="41" t="e">
        <f>IF(H209="credit",#REF!, (#REF!* -1))</f>
        <v>#REF!</v>
      </c>
      <c r="C209" s="497" t="e">
        <f t="shared" si="1"/>
        <v>#REF!</v>
      </c>
      <c r="D209" s="37"/>
    </row>
    <row r="210" spans="1:11" ht="16" x14ac:dyDescent="0.2">
      <c r="B210" s="41" t="e">
        <f>IF(H210="credit",#REF!, (#REF!* -1))</f>
        <v>#REF!</v>
      </c>
      <c r="C210" s="497" t="e">
        <f t="shared" si="1"/>
        <v>#REF!</v>
      </c>
      <c r="D210" s="37"/>
    </row>
    <row r="211" spans="1:11" s="143" customFormat="1" ht="16" x14ac:dyDescent="0.2">
      <c r="A211" s="40"/>
      <c r="B211" s="41" t="e">
        <f>IF(H211="credit",#REF!, (#REF!* -1))</f>
        <v>#REF!</v>
      </c>
      <c r="C211" s="497" t="e">
        <f t="shared" si="1"/>
        <v>#REF!</v>
      </c>
      <c r="D211" s="37"/>
      <c r="E211" s="139"/>
      <c r="F211"/>
      <c r="G211"/>
      <c r="H211"/>
      <c r="I211"/>
      <c r="J211"/>
      <c r="K211"/>
    </row>
    <row r="212" spans="1:11" ht="16" x14ac:dyDescent="0.2">
      <c r="B212" s="41" t="e">
        <f>IF(H212="credit",#REF!, (#REF!* -1))</f>
        <v>#REF!</v>
      </c>
      <c r="C212" s="497" t="e">
        <f t="shared" si="1"/>
        <v>#REF!</v>
      </c>
      <c r="D212" s="37"/>
    </row>
    <row r="213" spans="1:11" ht="16" x14ac:dyDescent="0.2">
      <c r="B213" s="41" t="e">
        <f>IF(H213="credit",#REF!, (#REF!* -1))</f>
        <v>#REF!</v>
      </c>
      <c r="C213" s="497" t="e">
        <f t="shared" si="1"/>
        <v>#REF!</v>
      </c>
      <c r="D213" s="37"/>
    </row>
    <row r="214" spans="1:11" ht="16" x14ac:dyDescent="0.2">
      <c r="B214" s="41" t="e">
        <f>IF(H214="credit",#REF!, (#REF!* -1))</f>
        <v>#REF!</v>
      </c>
      <c r="C214" s="497" t="e">
        <f t="shared" si="1"/>
        <v>#REF!</v>
      </c>
      <c r="D214" s="37"/>
    </row>
    <row r="215" spans="1:11" ht="16" x14ac:dyDescent="0.2">
      <c r="B215" s="41" t="e">
        <f>IF(H215="credit",#REF!, (#REF!* -1))</f>
        <v>#REF!</v>
      </c>
      <c r="C215" s="497" t="e">
        <f t="shared" si="1"/>
        <v>#REF!</v>
      </c>
      <c r="D215" s="37"/>
    </row>
    <row r="216" spans="1:11" ht="16" x14ac:dyDescent="0.2">
      <c r="B216" s="41" t="e">
        <f>IF(H216="credit",#REF!, (#REF!* -1))</f>
        <v>#REF!</v>
      </c>
      <c r="C216" s="497" t="e">
        <f t="shared" si="1"/>
        <v>#REF!</v>
      </c>
      <c r="D216" s="37"/>
    </row>
    <row r="217" spans="1:11" ht="16" x14ac:dyDescent="0.2">
      <c r="B217" s="41" t="e">
        <f>IF(H217="credit",#REF!, (#REF!* -1))</f>
        <v>#REF!</v>
      </c>
      <c r="C217" s="497" t="e">
        <f t="shared" si="1"/>
        <v>#REF!</v>
      </c>
      <c r="D217" s="37"/>
    </row>
    <row r="218" spans="1:11" ht="16" x14ac:dyDescent="0.2">
      <c r="B218" s="41" t="e">
        <f>IF(H218="credit",#REF!, (#REF!* -1))</f>
        <v>#REF!</v>
      </c>
      <c r="C218" s="497" t="e">
        <f t="shared" si="1"/>
        <v>#REF!</v>
      </c>
      <c r="D218" s="37"/>
    </row>
    <row r="219" spans="1:11" ht="16" x14ac:dyDescent="0.2">
      <c r="B219" s="41" t="e">
        <f>IF(H219="credit",#REF!, (#REF!* -1))</f>
        <v>#REF!</v>
      </c>
      <c r="C219" s="497" t="e">
        <f t="shared" si="1"/>
        <v>#REF!</v>
      </c>
      <c r="D219" s="37"/>
    </row>
    <row r="220" spans="1:11" ht="16" x14ac:dyDescent="0.2">
      <c r="B220" s="41" t="e">
        <f>IF(H220="credit",#REF!, (#REF!* -1))</f>
        <v>#REF!</v>
      </c>
      <c r="C220" s="497" t="e">
        <f t="shared" si="1"/>
        <v>#REF!</v>
      </c>
      <c r="D220" s="37"/>
    </row>
    <row r="221" spans="1:11" ht="16" x14ac:dyDescent="0.2">
      <c r="B221" s="41" t="e">
        <f>IF(H221="credit",#REF!, (#REF!* -1))</f>
        <v>#REF!</v>
      </c>
      <c r="C221" s="497" t="e">
        <f t="shared" si="1"/>
        <v>#REF!</v>
      </c>
      <c r="D221" s="37"/>
    </row>
    <row r="222" spans="1:11" ht="16" x14ac:dyDescent="0.2">
      <c r="B222" s="41" t="e">
        <f>IF(H222="credit",#REF!, (#REF!* -1))</f>
        <v>#REF!</v>
      </c>
      <c r="C222" s="497" t="e">
        <f t="shared" si="1"/>
        <v>#REF!</v>
      </c>
      <c r="D222" s="37"/>
    </row>
    <row r="223" spans="1:11" ht="16" x14ac:dyDescent="0.2">
      <c r="B223" s="41" t="e">
        <f>IF(H223="credit",#REF!, (#REF!* -1))</f>
        <v>#REF!</v>
      </c>
      <c r="C223" s="497" t="e">
        <f t="shared" si="1"/>
        <v>#REF!</v>
      </c>
      <c r="D223" s="37"/>
    </row>
    <row r="224" spans="1:11" ht="16" x14ac:dyDescent="0.2">
      <c r="B224" s="41" t="e">
        <f>IF(H224="credit",#REF!, (#REF!* -1))</f>
        <v>#REF!</v>
      </c>
      <c r="C224" s="497" t="e">
        <f t="shared" si="1"/>
        <v>#REF!</v>
      </c>
      <c r="D224" s="37"/>
    </row>
    <row r="225" spans="2:4" ht="16" x14ac:dyDescent="0.2">
      <c r="B225" s="41" t="e">
        <f>IF(H225="credit",#REF!, (#REF!* -1))</f>
        <v>#REF!</v>
      </c>
      <c r="C225" s="497" t="e">
        <f t="shared" si="1"/>
        <v>#REF!</v>
      </c>
      <c r="D225" s="37"/>
    </row>
    <row r="226" spans="2:4" ht="16" x14ac:dyDescent="0.2">
      <c r="B226" s="41" t="e">
        <f>IF(H226="credit",#REF!, (#REF!* -1))</f>
        <v>#REF!</v>
      </c>
      <c r="C226" s="497" t="e">
        <f t="shared" si="1"/>
        <v>#REF!</v>
      </c>
      <c r="D226" s="37"/>
    </row>
    <row r="227" spans="2:4" ht="16" x14ac:dyDescent="0.2">
      <c r="B227" s="41" t="e">
        <f>IF(H227="credit",#REF!, (#REF!* -1))</f>
        <v>#REF!</v>
      </c>
      <c r="C227" s="497" t="e">
        <f t="shared" si="1"/>
        <v>#REF!</v>
      </c>
      <c r="D227" s="37"/>
    </row>
    <row r="228" spans="2:4" ht="16" x14ac:dyDescent="0.2">
      <c r="B228" s="41" t="e">
        <f>IF(H228="credit",#REF!, (#REF!* -1))</f>
        <v>#REF!</v>
      </c>
      <c r="C228" s="497" t="e">
        <f t="shared" si="1"/>
        <v>#REF!</v>
      </c>
      <c r="D228" s="37"/>
    </row>
    <row r="229" spans="2:4" ht="16" x14ac:dyDescent="0.2">
      <c r="B229" s="41" t="e">
        <f>IF(H229="credit",#REF!, (#REF!* -1))</f>
        <v>#REF!</v>
      </c>
      <c r="C229" s="497" t="e">
        <f t="shared" si="1"/>
        <v>#REF!</v>
      </c>
      <c r="D229" s="37"/>
    </row>
    <row r="230" spans="2:4" ht="16" x14ac:dyDescent="0.2">
      <c r="B230" s="41" t="e">
        <f>IF(H230="credit",#REF!, (#REF!* -1))</f>
        <v>#REF!</v>
      </c>
      <c r="C230" s="497" t="e">
        <f t="shared" si="1"/>
        <v>#REF!</v>
      </c>
      <c r="D230" s="37"/>
    </row>
    <row r="231" spans="2:4" ht="16" x14ac:dyDescent="0.2">
      <c r="B231" s="41" t="e">
        <f>IF(H231="credit",#REF!, (#REF!* -1))</f>
        <v>#REF!</v>
      </c>
      <c r="C231" s="497" t="e">
        <f t="shared" si="1"/>
        <v>#REF!</v>
      </c>
      <c r="D231" s="37"/>
    </row>
    <row r="232" spans="2:4" ht="16" x14ac:dyDescent="0.2">
      <c r="B232" s="41" t="e">
        <f>IF(H232="credit",#REF!, (#REF!* -1))</f>
        <v>#REF!</v>
      </c>
      <c r="C232" s="497" t="e">
        <f t="shared" si="1"/>
        <v>#REF!</v>
      </c>
      <c r="D232" s="37"/>
    </row>
    <row r="233" spans="2:4" ht="16" x14ac:dyDescent="0.2">
      <c r="B233" s="41" t="e">
        <f>IF(H233="credit",#REF!, (#REF!* -1))</f>
        <v>#REF!</v>
      </c>
      <c r="C233" s="497" t="e">
        <f t="shared" si="1"/>
        <v>#REF!</v>
      </c>
      <c r="D233" s="37"/>
    </row>
    <row r="234" spans="2:4" ht="16" x14ac:dyDescent="0.2">
      <c r="B234" s="41" t="e">
        <f>IF(H234="credit",#REF!, (#REF!* -1))</f>
        <v>#REF!</v>
      </c>
      <c r="C234" s="497" t="e">
        <f t="shared" si="1"/>
        <v>#REF!</v>
      </c>
      <c r="D234" s="37"/>
    </row>
    <row r="235" spans="2:4" ht="16" x14ac:dyDescent="0.2">
      <c r="B235" s="41" t="e">
        <f>IF(H235="credit",#REF!, (#REF!* -1))</f>
        <v>#REF!</v>
      </c>
      <c r="C235" s="497" t="e">
        <f t="shared" si="1"/>
        <v>#REF!</v>
      </c>
      <c r="D235" s="37"/>
    </row>
    <row r="236" spans="2:4" ht="16" x14ac:dyDescent="0.2">
      <c r="B236" s="41" t="e">
        <f>IF(H236="credit",#REF!, (#REF!* -1))</f>
        <v>#REF!</v>
      </c>
      <c r="C236" s="497" t="e">
        <f t="shared" si="1"/>
        <v>#REF!</v>
      </c>
      <c r="D236" s="37"/>
    </row>
    <row r="237" spans="2:4" ht="16" x14ac:dyDescent="0.2">
      <c r="B237" s="41" t="e">
        <f>IF(H237="credit",#REF!, (#REF!* -1))</f>
        <v>#REF!</v>
      </c>
      <c r="C237" s="497" t="e">
        <f t="shared" si="1"/>
        <v>#REF!</v>
      </c>
      <c r="D237" s="37"/>
    </row>
    <row r="238" spans="2:4" ht="16" x14ac:dyDescent="0.2">
      <c r="B238" s="41" t="e">
        <f>IF(H238="credit",#REF!, (#REF!* -1))</f>
        <v>#REF!</v>
      </c>
      <c r="C238" s="497" t="e">
        <f t="shared" si="1"/>
        <v>#REF!</v>
      </c>
      <c r="D238" s="37"/>
    </row>
    <row r="239" spans="2:4" ht="16" x14ac:dyDescent="0.2">
      <c r="B239" s="41" t="e">
        <f>IF(H239="credit",#REF!, (#REF!* -1))</f>
        <v>#REF!</v>
      </c>
      <c r="C239" s="497" t="e">
        <f t="shared" si="1"/>
        <v>#REF!</v>
      </c>
      <c r="D239" s="37"/>
    </row>
    <row r="240" spans="2:4" ht="16" x14ac:dyDescent="0.2">
      <c r="B240" s="41" t="e">
        <f>IF(H240="credit",#REF!, (#REF!* -1))</f>
        <v>#REF!</v>
      </c>
      <c r="C240" s="497" t="e">
        <f t="shared" si="1"/>
        <v>#REF!</v>
      </c>
      <c r="D240" s="37"/>
    </row>
    <row r="241" spans="2:4" ht="16" x14ac:dyDescent="0.2">
      <c r="B241" s="41" t="e">
        <f>IF(H241="credit",#REF!, (#REF!* -1))</f>
        <v>#REF!</v>
      </c>
      <c r="C241" s="497" t="e">
        <f t="shared" si="1"/>
        <v>#REF!</v>
      </c>
      <c r="D241" s="37"/>
    </row>
    <row r="242" spans="2:4" ht="16" x14ac:dyDescent="0.2">
      <c r="B242" s="41" t="e">
        <f>IF(H242="credit",#REF!, (#REF!* -1))</f>
        <v>#REF!</v>
      </c>
      <c r="C242" s="497" t="e">
        <f t="shared" si="1"/>
        <v>#REF!</v>
      </c>
      <c r="D242" s="37"/>
    </row>
    <row r="243" spans="2:4" ht="16" x14ac:dyDescent="0.2">
      <c r="B243" s="41" t="e">
        <f>IF(H243="credit",#REF!, (#REF!* -1))</f>
        <v>#REF!</v>
      </c>
      <c r="C243" s="497" t="e">
        <f t="shared" si="1"/>
        <v>#REF!</v>
      </c>
      <c r="D243" s="37"/>
    </row>
    <row r="244" spans="2:4" ht="16" x14ac:dyDescent="0.2">
      <c r="B244" s="41" t="e">
        <f>IF(H244="credit",#REF!, (#REF!* -1))</f>
        <v>#REF!</v>
      </c>
      <c r="C244" s="497" t="e">
        <f t="shared" si="1"/>
        <v>#REF!</v>
      </c>
      <c r="D244" s="37"/>
    </row>
    <row r="245" spans="2:4" ht="16" x14ac:dyDescent="0.2">
      <c r="B245" s="41" t="e">
        <f>IF(H245="credit",#REF!, (#REF!* -1))</f>
        <v>#REF!</v>
      </c>
      <c r="C245" s="497" t="e">
        <f t="shared" si="1"/>
        <v>#REF!</v>
      </c>
      <c r="D245" s="37"/>
    </row>
    <row r="246" spans="2:4" ht="16" x14ac:dyDescent="0.2">
      <c r="B246" s="41" t="e">
        <f>IF(H246="credit",#REF!, (#REF!* -1))</f>
        <v>#REF!</v>
      </c>
      <c r="C246" s="497" t="e">
        <f t="shared" si="1"/>
        <v>#REF!</v>
      </c>
      <c r="D246" s="37"/>
    </row>
    <row r="247" spans="2:4" ht="16" x14ac:dyDescent="0.2">
      <c r="B247" s="41" t="e">
        <f>IF(H247="credit",#REF!, (#REF!* -1))</f>
        <v>#REF!</v>
      </c>
      <c r="C247" s="497" t="e">
        <f t="shared" si="1"/>
        <v>#REF!</v>
      </c>
      <c r="D247" s="37"/>
    </row>
    <row r="248" spans="2:4" ht="16" x14ac:dyDescent="0.2">
      <c r="B248" s="41" t="e">
        <f>IF(H248="credit",#REF!, (#REF!* -1))</f>
        <v>#REF!</v>
      </c>
      <c r="C248" s="497" t="e">
        <f t="shared" si="1"/>
        <v>#REF!</v>
      </c>
      <c r="D248" s="37"/>
    </row>
    <row r="249" spans="2:4" ht="16" x14ac:dyDescent="0.2">
      <c r="B249" s="41" t="e">
        <f>IF(H249="credit",#REF!, (#REF!* -1))</f>
        <v>#REF!</v>
      </c>
      <c r="C249" s="497" t="e">
        <f t="shared" si="1"/>
        <v>#REF!</v>
      </c>
      <c r="D249" s="37"/>
    </row>
    <row r="250" spans="2:4" ht="16" x14ac:dyDescent="0.2">
      <c r="B250" s="41" t="e">
        <f>IF(H250="credit",#REF!, (#REF!* -1))</f>
        <v>#REF!</v>
      </c>
      <c r="C250" s="497" t="e">
        <f t="shared" si="1"/>
        <v>#REF!</v>
      </c>
      <c r="D250" s="37"/>
    </row>
    <row r="251" spans="2:4" ht="16" x14ac:dyDescent="0.2">
      <c r="B251" s="41" t="e">
        <f>IF(H251="credit",#REF!, (#REF!* -1))</f>
        <v>#REF!</v>
      </c>
      <c r="C251" s="497" t="e">
        <f t="shared" si="1"/>
        <v>#REF!</v>
      </c>
      <c r="D251" s="37"/>
    </row>
    <row r="252" spans="2:4" ht="16" x14ac:dyDescent="0.2">
      <c r="B252" s="41" t="e">
        <f>IF(H252="credit",#REF!, (#REF!* -1))</f>
        <v>#REF!</v>
      </c>
      <c r="C252" s="497" t="e">
        <f t="shared" si="1"/>
        <v>#REF!</v>
      </c>
      <c r="D252" s="37"/>
    </row>
    <row r="253" spans="2:4" ht="16" x14ac:dyDescent="0.2">
      <c r="B253" s="41" t="e">
        <f>IF(H253="credit",#REF!, (#REF!* -1))</f>
        <v>#REF!</v>
      </c>
      <c r="C253" s="497" t="e">
        <f t="shared" si="1"/>
        <v>#REF!</v>
      </c>
      <c r="D253" s="37"/>
    </row>
    <row r="254" spans="2:4" ht="16" x14ac:dyDescent="0.2">
      <c r="B254" s="41" t="e">
        <f>IF(H254="credit",#REF!, (#REF!* -1))</f>
        <v>#REF!</v>
      </c>
      <c r="C254" s="497" t="e">
        <f t="shared" si="1"/>
        <v>#REF!</v>
      </c>
      <c r="D254" s="37"/>
    </row>
    <row r="255" spans="2:4" ht="16" x14ac:dyDescent="0.2">
      <c r="B255" s="41" t="e">
        <f>IF(H255="credit",#REF!, (#REF!* -1))</f>
        <v>#REF!</v>
      </c>
      <c r="C255" s="497" t="e">
        <f t="shared" si="1"/>
        <v>#REF!</v>
      </c>
      <c r="D255" s="37"/>
    </row>
    <row r="256" spans="2:4" ht="16" x14ac:dyDescent="0.2">
      <c r="B256" s="41" t="e">
        <f>IF(H256="credit",#REF!, (#REF!* -1))</f>
        <v>#REF!</v>
      </c>
      <c r="C256" s="497" t="e">
        <f t="shared" si="1"/>
        <v>#REF!</v>
      </c>
      <c r="D256" s="37"/>
    </row>
    <row r="257" spans="2:4" ht="16" x14ac:dyDescent="0.2">
      <c r="B257" s="41" t="e">
        <f>IF(H257="credit",#REF!, (#REF!* -1))</f>
        <v>#REF!</v>
      </c>
      <c r="C257" s="497" t="e">
        <f t="shared" si="1"/>
        <v>#REF!</v>
      </c>
      <c r="D257" s="37"/>
    </row>
    <row r="258" spans="2:4" ht="16" x14ac:dyDescent="0.2">
      <c r="B258" s="41" t="e">
        <f>IF(H258="credit",#REF!, (#REF!* -1))</f>
        <v>#REF!</v>
      </c>
      <c r="C258" s="497" t="e">
        <f t="shared" si="1"/>
        <v>#REF!</v>
      </c>
      <c r="D258" s="37"/>
    </row>
    <row r="259" spans="2:4" ht="16" x14ac:dyDescent="0.2">
      <c r="B259" s="41" t="e">
        <f>IF(H259="credit",#REF!, (#REF!* -1))</f>
        <v>#REF!</v>
      </c>
      <c r="C259" s="497" t="e">
        <f t="shared" si="1"/>
        <v>#REF!</v>
      </c>
      <c r="D259" s="37"/>
    </row>
    <row r="260" spans="2:4" ht="16" x14ac:dyDescent="0.2">
      <c r="B260" s="41" t="e">
        <f>IF(H260="credit",#REF!, (#REF!* -1))</f>
        <v>#REF!</v>
      </c>
      <c r="C260" s="497" t="e">
        <f t="shared" ref="C260:C323" si="2">C259+B260</f>
        <v>#REF!</v>
      </c>
      <c r="D260" s="37"/>
    </row>
    <row r="261" spans="2:4" ht="16" x14ac:dyDescent="0.2">
      <c r="B261" s="41" t="e">
        <f>IF(H261="credit",#REF!, (#REF!* -1))</f>
        <v>#REF!</v>
      </c>
      <c r="C261" s="497" t="e">
        <f t="shared" si="2"/>
        <v>#REF!</v>
      </c>
      <c r="D261" s="37"/>
    </row>
    <row r="262" spans="2:4" ht="16" x14ac:dyDescent="0.2">
      <c r="B262" s="41" t="e">
        <f>IF(H262="credit",#REF!, (#REF!* -1))</f>
        <v>#REF!</v>
      </c>
      <c r="C262" s="497" t="e">
        <f t="shared" si="2"/>
        <v>#REF!</v>
      </c>
      <c r="D262" s="37"/>
    </row>
    <row r="263" spans="2:4" ht="16" x14ac:dyDescent="0.2">
      <c r="B263" s="41" t="e">
        <f>IF(H263="credit",#REF!, (#REF!* -1))</f>
        <v>#REF!</v>
      </c>
      <c r="C263" s="497" t="e">
        <f t="shared" si="2"/>
        <v>#REF!</v>
      </c>
      <c r="D263" s="37"/>
    </row>
    <row r="264" spans="2:4" ht="16" x14ac:dyDescent="0.2">
      <c r="B264" s="41" t="e">
        <f>IF(H264="credit",#REF!, (#REF!* -1))</f>
        <v>#REF!</v>
      </c>
      <c r="C264" s="497" t="e">
        <f t="shared" si="2"/>
        <v>#REF!</v>
      </c>
      <c r="D264" s="37"/>
    </row>
    <row r="265" spans="2:4" ht="16" x14ac:dyDescent="0.2">
      <c r="B265" s="41" t="e">
        <f>IF(H265="credit",#REF!, (#REF!* -1))</f>
        <v>#REF!</v>
      </c>
      <c r="C265" s="497" t="e">
        <f t="shared" si="2"/>
        <v>#REF!</v>
      </c>
      <c r="D265" s="37"/>
    </row>
    <row r="266" spans="2:4" ht="16" x14ac:dyDescent="0.2">
      <c r="B266" s="41" t="e">
        <f>IF(H266="credit",#REF!, (#REF!* -1))</f>
        <v>#REF!</v>
      </c>
      <c r="C266" s="497" t="e">
        <f t="shared" si="2"/>
        <v>#REF!</v>
      </c>
      <c r="D266" s="37"/>
    </row>
    <row r="267" spans="2:4" ht="16" x14ac:dyDescent="0.2">
      <c r="B267" s="41" t="e">
        <f>IF(H267="credit",#REF!, (#REF!* -1))</f>
        <v>#REF!</v>
      </c>
      <c r="C267" s="497" t="e">
        <f t="shared" si="2"/>
        <v>#REF!</v>
      </c>
      <c r="D267" s="37"/>
    </row>
    <row r="268" spans="2:4" ht="16" x14ac:dyDescent="0.2">
      <c r="B268" s="41" t="e">
        <f>IF(H268="credit",#REF!, (#REF!* -1))</f>
        <v>#REF!</v>
      </c>
      <c r="C268" s="497" t="e">
        <f t="shared" si="2"/>
        <v>#REF!</v>
      </c>
      <c r="D268" s="37"/>
    </row>
    <row r="269" spans="2:4" ht="16" x14ac:dyDescent="0.2">
      <c r="B269" s="41" t="e">
        <f>IF(H269="credit",#REF!, (#REF!* -1))</f>
        <v>#REF!</v>
      </c>
      <c r="C269" s="497" t="e">
        <f t="shared" si="2"/>
        <v>#REF!</v>
      </c>
      <c r="D269" s="37"/>
    </row>
    <row r="270" spans="2:4" ht="16" x14ac:dyDescent="0.2">
      <c r="B270" s="41" t="e">
        <f>IF(H270="credit",#REF!, (#REF!* -1))</f>
        <v>#REF!</v>
      </c>
      <c r="C270" s="497" t="e">
        <f t="shared" si="2"/>
        <v>#REF!</v>
      </c>
      <c r="D270" s="37"/>
    </row>
    <row r="271" spans="2:4" ht="16" x14ac:dyDescent="0.2">
      <c r="B271" s="41" t="e">
        <f>IF(H271="credit",#REF!, (#REF!* -1))</f>
        <v>#REF!</v>
      </c>
      <c r="C271" s="497" t="e">
        <f t="shared" si="2"/>
        <v>#REF!</v>
      </c>
      <c r="D271" s="37"/>
    </row>
    <row r="272" spans="2:4" ht="16" x14ac:dyDescent="0.2">
      <c r="B272" s="41" t="e">
        <f>IF(H272="credit",#REF!, (#REF!* -1))</f>
        <v>#REF!</v>
      </c>
      <c r="C272" s="497" t="e">
        <f t="shared" si="2"/>
        <v>#REF!</v>
      </c>
      <c r="D272" s="37"/>
    </row>
    <row r="273" spans="2:4" ht="16" x14ac:dyDescent="0.2">
      <c r="B273" s="41" t="e">
        <f>IF(H273="credit",#REF!, (#REF!* -1))</f>
        <v>#REF!</v>
      </c>
      <c r="C273" s="497" t="e">
        <f t="shared" si="2"/>
        <v>#REF!</v>
      </c>
      <c r="D273" s="37"/>
    </row>
    <row r="274" spans="2:4" ht="16" x14ac:dyDescent="0.2">
      <c r="B274" s="41" t="e">
        <f>IF(H274="credit",#REF!, (#REF!* -1))</f>
        <v>#REF!</v>
      </c>
      <c r="C274" s="497" t="e">
        <f t="shared" si="2"/>
        <v>#REF!</v>
      </c>
      <c r="D274" s="37"/>
    </row>
    <row r="275" spans="2:4" ht="16" x14ac:dyDescent="0.2">
      <c r="B275" s="41" t="e">
        <f>IF(H275="credit",#REF!, (#REF!* -1))</f>
        <v>#REF!</v>
      </c>
      <c r="C275" s="497" t="e">
        <f t="shared" si="2"/>
        <v>#REF!</v>
      </c>
      <c r="D275" s="37"/>
    </row>
    <row r="276" spans="2:4" ht="16" x14ac:dyDescent="0.2">
      <c r="B276" s="41" t="e">
        <f>IF(H276="credit",#REF!, (#REF!* -1))</f>
        <v>#REF!</v>
      </c>
      <c r="C276" s="497" t="e">
        <f t="shared" si="2"/>
        <v>#REF!</v>
      </c>
      <c r="D276" s="37"/>
    </row>
    <row r="277" spans="2:4" ht="16" x14ac:dyDescent="0.2">
      <c r="B277" s="41" t="e">
        <f>IF(H277="credit",#REF!, (#REF!* -1))</f>
        <v>#REF!</v>
      </c>
      <c r="C277" s="497" t="e">
        <f t="shared" si="2"/>
        <v>#REF!</v>
      </c>
      <c r="D277" s="37"/>
    </row>
    <row r="278" spans="2:4" ht="16" x14ac:dyDescent="0.2">
      <c r="B278" s="41" t="e">
        <f>IF(H278="credit",#REF!, (#REF!* -1))</f>
        <v>#REF!</v>
      </c>
      <c r="C278" s="497" t="e">
        <f t="shared" si="2"/>
        <v>#REF!</v>
      </c>
      <c r="D278" s="37"/>
    </row>
    <row r="279" spans="2:4" ht="16" x14ac:dyDescent="0.2">
      <c r="B279" s="41" t="e">
        <f>IF(H279="credit",#REF!, (#REF!* -1))</f>
        <v>#REF!</v>
      </c>
      <c r="C279" s="497" t="e">
        <f t="shared" si="2"/>
        <v>#REF!</v>
      </c>
      <c r="D279" s="37"/>
    </row>
    <row r="280" spans="2:4" ht="16" x14ac:dyDescent="0.2">
      <c r="B280" s="41" t="e">
        <f>IF(H280="credit",#REF!, (#REF!* -1))</f>
        <v>#REF!</v>
      </c>
      <c r="C280" s="497" t="e">
        <f t="shared" si="2"/>
        <v>#REF!</v>
      </c>
      <c r="D280" s="37"/>
    </row>
    <row r="281" spans="2:4" ht="16" x14ac:dyDescent="0.2">
      <c r="B281" s="41" t="e">
        <f>IF(H281="credit",#REF!, (#REF!* -1))</f>
        <v>#REF!</v>
      </c>
      <c r="C281" s="497" t="e">
        <f t="shared" si="2"/>
        <v>#REF!</v>
      </c>
      <c r="D281" s="37"/>
    </row>
    <row r="282" spans="2:4" ht="16" x14ac:dyDescent="0.2">
      <c r="B282" s="41" t="e">
        <f>IF(H282="credit",#REF!, (#REF!* -1))</f>
        <v>#REF!</v>
      </c>
      <c r="C282" s="497" t="e">
        <f t="shared" si="2"/>
        <v>#REF!</v>
      </c>
      <c r="D282" s="37"/>
    </row>
    <row r="283" spans="2:4" ht="16" x14ac:dyDescent="0.2">
      <c r="B283" s="41" t="e">
        <f>IF(H283="credit",#REF!, (#REF!* -1))</f>
        <v>#REF!</v>
      </c>
      <c r="C283" s="497" t="e">
        <f t="shared" si="2"/>
        <v>#REF!</v>
      </c>
      <c r="D283" s="37"/>
    </row>
    <row r="284" spans="2:4" ht="16" x14ac:dyDescent="0.2">
      <c r="B284" s="41" t="e">
        <f>IF(H284="credit",#REF!, (#REF!* -1))</f>
        <v>#REF!</v>
      </c>
      <c r="C284" s="497" t="e">
        <f t="shared" si="2"/>
        <v>#REF!</v>
      </c>
      <c r="D284" s="37"/>
    </row>
    <row r="285" spans="2:4" ht="16" x14ac:dyDescent="0.2">
      <c r="B285" s="41" t="e">
        <f>IF(H285="credit",#REF!, (#REF!* -1))</f>
        <v>#REF!</v>
      </c>
      <c r="C285" s="497" t="e">
        <f t="shared" si="2"/>
        <v>#REF!</v>
      </c>
      <c r="D285" s="37"/>
    </row>
    <row r="286" spans="2:4" ht="16" x14ac:dyDescent="0.2">
      <c r="B286" s="41" t="e">
        <f>IF(H286="credit",#REF!, (#REF!* -1))</f>
        <v>#REF!</v>
      </c>
      <c r="C286" s="497" t="e">
        <f t="shared" si="2"/>
        <v>#REF!</v>
      </c>
      <c r="D286" s="37"/>
    </row>
    <row r="287" spans="2:4" ht="16" x14ac:dyDescent="0.2">
      <c r="B287" s="41" t="e">
        <f>IF(H287="credit",#REF!, (#REF!* -1))</f>
        <v>#REF!</v>
      </c>
      <c r="C287" s="497" t="e">
        <f t="shared" si="2"/>
        <v>#REF!</v>
      </c>
      <c r="D287" s="37"/>
    </row>
    <row r="288" spans="2:4" ht="16" x14ac:dyDescent="0.2">
      <c r="B288" s="41" t="e">
        <f>IF(H288="credit",#REF!, (#REF!* -1))</f>
        <v>#REF!</v>
      </c>
      <c r="C288" s="497" t="e">
        <f t="shared" si="2"/>
        <v>#REF!</v>
      </c>
      <c r="D288" s="37"/>
    </row>
    <row r="289" spans="2:4" ht="16" x14ac:dyDescent="0.2">
      <c r="B289" s="41" t="e">
        <f>IF(H289="credit",#REF!, (#REF!* -1))</f>
        <v>#REF!</v>
      </c>
      <c r="C289" s="497" t="e">
        <f t="shared" si="2"/>
        <v>#REF!</v>
      </c>
      <c r="D289" s="37"/>
    </row>
    <row r="290" spans="2:4" ht="16" x14ac:dyDescent="0.2">
      <c r="B290" s="41" t="e">
        <f>IF(H290="credit",#REF!, (#REF!* -1))</f>
        <v>#REF!</v>
      </c>
      <c r="C290" s="497" t="e">
        <f t="shared" si="2"/>
        <v>#REF!</v>
      </c>
      <c r="D290" s="37"/>
    </row>
    <row r="291" spans="2:4" ht="16" x14ac:dyDescent="0.2">
      <c r="B291" s="41" t="e">
        <f>IF(H291="credit",#REF!, (#REF!* -1))</f>
        <v>#REF!</v>
      </c>
      <c r="C291" s="497" t="e">
        <f t="shared" si="2"/>
        <v>#REF!</v>
      </c>
      <c r="D291" s="37"/>
    </row>
    <row r="292" spans="2:4" ht="16" x14ac:dyDescent="0.2">
      <c r="B292" s="41" t="e">
        <f>IF(H292="credit",#REF!, (#REF!* -1))</f>
        <v>#REF!</v>
      </c>
      <c r="C292" s="497" t="e">
        <f t="shared" si="2"/>
        <v>#REF!</v>
      </c>
      <c r="D292" s="37"/>
    </row>
    <row r="293" spans="2:4" ht="16" x14ac:dyDescent="0.2">
      <c r="B293" s="41" t="e">
        <f>IF(H293="credit",#REF!, (#REF!* -1))</f>
        <v>#REF!</v>
      </c>
      <c r="C293" s="497" t="e">
        <f t="shared" si="2"/>
        <v>#REF!</v>
      </c>
      <c r="D293" s="37"/>
    </row>
    <row r="294" spans="2:4" ht="16" x14ac:dyDescent="0.2">
      <c r="B294" s="41" t="e">
        <f>IF(H294="credit",#REF!, (#REF!* -1))</f>
        <v>#REF!</v>
      </c>
      <c r="C294" s="497" t="e">
        <f t="shared" si="2"/>
        <v>#REF!</v>
      </c>
      <c r="D294" s="37"/>
    </row>
    <row r="295" spans="2:4" ht="16" x14ac:dyDescent="0.2">
      <c r="B295" s="41" t="e">
        <f>IF(H295="credit",#REF!, (#REF!* -1))</f>
        <v>#REF!</v>
      </c>
      <c r="C295" s="497" t="e">
        <f t="shared" si="2"/>
        <v>#REF!</v>
      </c>
      <c r="D295" s="37"/>
    </row>
    <row r="296" spans="2:4" ht="16" x14ac:dyDescent="0.2">
      <c r="B296" s="41" t="e">
        <f>IF(H296="credit",#REF!, (#REF!* -1))</f>
        <v>#REF!</v>
      </c>
      <c r="C296" s="497" t="e">
        <f t="shared" si="2"/>
        <v>#REF!</v>
      </c>
      <c r="D296" s="37"/>
    </row>
    <row r="297" spans="2:4" ht="16" x14ac:dyDescent="0.2">
      <c r="B297" s="41" t="e">
        <f>IF(H297="credit",#REF!, (#REF!* -1))</f>
        <v>#REF!</v>
      </c>
      <c r="C297" s="497" t="e">
        <f t="shared" si="2"/>
        <v>#REF!</v>
      </c>
      <c r="D297" s="37"/>
    </row>
    <row r="298" spans="2:4" ht="16" x14ac:dyDescent="0.2">
      <c r="B298" s="41" t="e">
        <f>IF(H298="credit",#REF!, (#REF!* -1))</f>
        <v>#REF!</v>
      </c>
      <c r="C298" s="497" t="e">
        <f t="shared" si="2"/>
        <v>#REF!</v>
      </c>
      <c r="D298" s="37"/>
    </row>
    <row r="299" spans="2:4" ht="16" x14ac:dyDescent="0.2">
      <c r="B299" s="41" t="e">
        <f>IF(H299="credit",#REF!, (#REF!* -1))</f>
        <v>#REF!</v>
      </c>
      <c r="C299" s="497" t="e">
        <f t="shared" si="2"/>
        <v>#REF!</v>
      </c>
      <c r="D299" s="37"/>
    </row>
    <row r="300" spans="2:4" ht="16" x14ac:dyDescent="0.2">
      <c r="B300" s="41" t="e">
        <f>IF(H300="credit",#REF!, (#REF!* -1))</f>
        <v>#REF!</v>
      </c>
      <c r="C300" s="497" t="e">
        <f t="shared" si="2"/>
        <v>#REF!</v>
      </c>
      <c r="D300" s="37"/>
    </row>
    <row r="301" spans="2:4" ht="16" x14ac:dyDescent="0.2">
      <c r="B301" s="41" t="e">
        <f>IF(H301="credit",#REF!, (#REF!* -1))</f>
        <v>#REF!</v>
      </c>
      <c r="C301" s="497" t="e">
        <f t="shared" si="2"/>
        <v>#REF!</v>
      </c>
      <c r="D301" s="37"/>
    </row>
    <row r="302" spans="2:4" ht="16" x14ac:dyDescent="0.2">
      <c r="B302" s="41" t="e">
        <f>IF(H302="credit",#REF!, (#REF!* -1))</f>
        <v>#REF!</v>
      </c>
      <c r="C302" s="497" t="e">
        <f t="shared" si="2"/>
        <v>#REF!</v>
      </c>
      <c r="D302" s="37"/>
    </row>
    <row r="303" spans="2:4" ht="16" x14ac:dyDescent="0.2">
      <c r="B303" s="41" t="e">
        <f>IF(H303="credit",#REF!, (#REF!* -1))</f>
        <v>#REF!</v>
      </c>
      <c r="C303" s="497" t="e">
        <f t="shared" si="2"/>
        <v>#REF!</v>
      </c>
      <c r="D303" s="37"/>
    </row>
    <row r="304" spans="2:4" ht="16" x14ac:dyDescent="0.2">
      <c r="B304" s="41" t="e">
        <f>IF(H304="credit",#REF!, (#REF!* -1))</f>
        <v>#REF!</v>
      </c>
      <c r="C304" s="497" t="e">
        <f t="shared" si="2"/>
        <v>#REF!</v>
      </c>
      <c r="D304" s="37"/>
    </row>
    <row r="305" spans="2:4" ht="16" x14ac:dyDescent="0.2">
      <c r="B305" s="41" t="e">
        <f>IF(H305="credit",#REF!, (#REF!* -1))</f>
        <v>#REF!</v>
      </c>
      <c r="C305" s="497" t="e">
        <f t="shared" si="2"/>
        <v>#REF!</v>
      </c>
      <c r="D305" s="37"/>
    </row>
    <row r="306" spans="2:4" ht="16" x14ac:dyDescent="0.2">
      <c r="B306" s="41" t="e">
        <f>IF(H306="credit",#REF!, (#REF!* -1))</f>
        <v>#REF!</v>
      </c>
      <c r="C306" s="497" t="e">
        <f t="shared" si="2"/>
        <v>#REF!</v>
      </c>
      <c r="D306" s="37"/>
    </row>
    <row r="307" spans="2:4" ht="16" x14ac:dyDescent="0.2">
      <c r="B307" s="41" t="e">
        <f>IF(H307="credit",#REF!, (#REF!* -1))</f>
        <v>#REF!</v>
      </c>
      <c r="C307" s="497" t="e">
        <f t="shared" si="2"/>
        <v>#REF!</v>
      </c>
      <c r="D307" s="37"/>
    </row>
    <row r="308" spans="2:4" ht="16" x14ac:dyDescent="0.2">
      <c r="B308" s="41" t="e">
        <f>IF(H308="credit",#REF!, (#REF!* -1))</f>
        <v>#REF!</v>
      </c>
      <c r="C308" s="497" t="e">
        <f t="shared" si="2"/>
        <v>#REF!</v>
      </c>
      <c r="D308" s="37"/>
    </row>
    <row r="309" spans="2:4" ht="16" x14ac:dyDescent="0.2">
      <c r="B309" s="41" t="e">
        <f>IF(H309="credit",#REF!, (#REF!* -1))</f>
        <v>#REF!</v>
      </c>
      <c r="C309" s="497" t="e">
        <f t="shared" si="2"/>
        <v>#REF!</v>
      </c>
      <c r="D309" s="37"/>
    </row>
    <row r="310" spans="2:4" ht="16" x14ac:dyDescent="0.2">
      <c r="B310" s="41" t="e">
        <f>IF(H310="credit",#REF!, (#REF!* -1))</f>
        <v>#REF!</v>
      </c>
      <c r="C310" s="497" t="e">
        <f t="shared" si="2"/>
        <v>#REF!</v>
      </c>
      <c r="D310" s="37"/>
    </row>
    <row r="311" spans="2:4" ht="16" x14ac:dyDescent="0.2">
      <c r="B311" s="41" t="e">
        <f>IF(H311="credit",#REF!, (#REF!* -1))</f>
        <v>#REF!</v>
      </c>
      <c r="C311" s="497" t="e">
        <f t="shared" si="2"/>
        <v>#REF!</v>
      </c>
      <c r="D311" s="37"/>
    </row>
    <row r="312" spans="2:4" ht="16" x14ac:dyDescent="0.2">
      <c r="B312" s="41" t="e">
        <f>IF(H312="credit",#REF!, (#REF!* -1))</f>
        <v>#REF!</v>
      </c>
      <c r="C312" s="497" t="e">
        <f t="shared" si="2"/>
        <v>#REF!</v>
      </c>
      <c r="D312" s="37"/>
    </row>
    <row r="313" spans="2:4" ht="16" x14ac:dyDescent="0.2">
      <c r="B313" s="41" t="e">
        <f>IF(H313="credit",#REF!, (#REF!* -1))</f>
        <v>#REF!</v>
      </c>
      <c r="C313" s="497" t="e">
        <f t="shared" si="2"/>
        <v>#REF!</v>
      </c>
      <c r="D313" s="37"/>
    </row>
    <row r="314" spans="2:4" ht="16" x14ac:dyDescent="0.2">
      <c r="B314" s="41" t="e">
        <f>IF(H314="credit",#REF!, (#REF!* -1))</f>
        <v>#REF!</v>
      </c>
      <c r="C314" s="497" t="e">
        <f t="shared" si="2"/>
        <v>#REF!</v>
      </c>
      <c r="D314" s="37"/>
    </row>
    <row r="315" spans="2:4" ht="16" x14ac:dyDescent="0.2">
      <c r="B315" s="41" t="e">
        <f>IF(H315="credit",#REF!, (#REF!* -1))</f>
        <v>#REF!</v>
      </c>
      <c r="C315" s="497" t="e">
        <f t="shared" si="2"/>
        <v>#REF!</v>
      </c>
      <c r="D315" s="37"/>
    </row>
    <row r="316" spans="2:4" ht="16" x14ac:dyDescent="0.2">
      <c r="B316" s="41" t="e">
        <f>IF(H316="credit",#REF!, (#REF!* -1))</f>
        <v>#REF!</v>
      </c>
      <c r="C316" s="497" t="e">
        <f t="shared" si="2"/>
        <v>#REF!</v>
      </c>
      <c r="D316" s="37"/>
    </row>
    <row r="317" spans="2:4" ht="16" x14ac:dyDescent="0.2">
      <c r="B317" s="41" t="e">
        <f>IF(H317="credit",#REF!, (#REF!* -1))</f>
        <v>#REF!</v>
      </c>
      <c r="C317" s="497" t="e">
        <f t="shared" si="2"/>
        <v>#REF!</v>
      </c>
      <c r="D317" s="37"/>
    </row>
    <row r="318" spans="2:4" ht="16" x14ac:dyDescent="0.2">
      <c r="B318" s="41" t="e">
        <f>IF(H318="credit",#REF!, (#REF!* -1))</f>
        <v>#REF!</v>
      </c>
      <c r="C318" s="497" t="e">
        <f t="shared" si="2"/>
        <v>#REF!</v>
      </c>
      <c r="D318" s="37"/>
    </row>
    <row r="319" spans="2:4" ht="16" x14ac:dyDescent="0.2">
      <c r="B319" s="41" t="e">
        <f>IF(H319="credit",#REF!, (#REF!* -1))</f>
        <v>#REF!</v>
      </c>
      <c r="C319" s="497" t="e">
        <f t="shared" si="2"/>
        <v>#REF!</v>
      </c>
      <c r="D319" s="37"/>
    </row>
    <row r="320" spans="2:4" ht="16" x14ac:dyDescent="0.2">
      <c r="B320" s="41" t="e">
        <f>IF(H320="credit",#REF!, (#REF!* -1))</f>
        <v>#REF!</v>
      </c>
      <c r="C320" s="497" t="e">
        <f t="shared" si="2"/>
        <v>#REF!</v>
      </c>
      <c r="D320" s="37"/>
    </row>
    <row r="321" spans="2:4" ht="16" x14ac:dyDescent="0.2">
      <c r="B321" s="41" t="e">
        <f>IF(H321="credit",#REF!, (#REF!* -1))</f>
        <v>#REF!</v>
      </c>
      <c r="C321" s="497" t="e">
        <f t="shared" si="2"/>
        <v>#REF!</v>
      </c>
      <c r="D321" s="37"/>
    </row>
    <row r="322" spans="2:4" ht="16" x14ac:dyDescent="0.2">
      <c r="B322" s="41" t="e">
        <f>IF(H322="credit",#REF!, (#REF!* -1))</f>
        <v>#REF!</v>
      </c>
      <c r="C322" s="497" t="e">
        <f t="shared" si="2"/>
        <v>#REF!</v>
      </c>
      <c r="D322" s="37"/>
    </row>
    <row r="323" spans="2:4" ht="16" x14ac:dyDescent="0.2">
      <c r="B323" s="41" t="e">
        <f>IF(H323="credit",#REF!, (#REF!* -1))</f>
        <v>#REF!</v>
      </c>
      <c r="C323" s="497" t="e">
        <f t="shared" si="2"/>
        <v>#REF!</v>
      </c>
      <c r="D323" s="37"/>
    </row>
    <row r="324" spans="2:4" ht="16" x14ac:dyDescent="0.2">
      <c r="B324" s="41" t="e">
        <f>IF(H324="credit",#REF!, (#REF!* -1))</f>
        <v>#REF!</v>
      </c>
      <c r="C324" s="497" t="e">
        <f t="shared" ref="C324:C387" si="3">C323+B324</f>
        <v>#REF!</v>
      </c>
      <c r="D324" s="37"/>
    </row>
    <row r="325" spans="2:4" ht="16" x14ac:dyDescent="0.2">
      <c r="B325" s="41" t="e">
        <f>IF(H325="credit",#REF!, (#REF!* -1))</f>
        <v>#REF!</v>
      </c>
      <c r="C325" s="497" t="e">
        <f t="shared" si="3"/>
        <v>#REF!</v>
      </c>
      <c r="D325" s="37"/>
    </row>
    <row r="326" spans="2:4" ht="16" x14ac:dyDescent="0.2">
      <c r="B326" s="41" t="e">
        <f>IF(H326="credit",#REF!, (#REF!* -1))</f>
        <v>#REF!</v>
      </c>
      <c r="C326" s="497" t="e">
        <f t="shared" si="3"/>
        <v>#REF!</v>
      </c>
      <c r="D326" s="37"/>
    </row>
    <row r="327" spans="2:4" ht="16" x14ac:dyDescent="0.2">
      <c r="B327" s="41" t="e">
        <f>IF(H327="credit",#REF!, (#REF!* -1))</f>
        <v>#REF!</v>
      </c>
      <c r="C327" s="497" t="e">
        <f t="shared" si="3"/>
        <v>#REF!</v>
      </c>
      <c r="D327" s="37"/>
    </row>
    <row r="328" spans="2:4" ht="16" x14ac:dyDescent="0.2">
      <c r="B328" s="41" t="e">
        <f>IF(H328="credit",#REF!, (#REF!* -1))</f>
        <v>#REF!</v>
      </c>
      <c r="C328" s="497" t="e">
        <f t="shared" si="3"/>
        <v>#REF!</v>
      </c>
      <c r="D328" s="37"/>
    </row>
    <row r="329" spans="2:4" ht="16" x14ac:dyDescent="0.2">
      <c r="B329" s="41" t="e">
        <f>IF(H329="credit",#REF!, (#REF!* -1))</f>
        <v>#REF!</v>
      </c>
      <c r="C329" s="497" t="e">
        <f t="shared" si="3"/>
        <v>#REF!</v>
      </c>
      <c r="D329" s="37"/>
    </row>
    <row r="330" spans="2:4" ht="16" x14ac:dyDescent="0.2">
      <c r="B330" s="41" t="e">
        <f>IF(H330="credit",#REF!, (#REF!* -1))</f>
        <v>#REF!</v>
      </c>
      <c r="C330" s="497" t="e">
        <f t="shared" si="3"/>
        <v>#REF!</v>
      </c>
      <c r="D330" s="37"/>
    </row>
    <row r="331" spans="2:4" ht="16" x14ac:dyDescent="0.2">
      <c r="B331" s="41" t="e">
        <f>IF(H331="credit",#REF!, (#REF!* -1))</f>
        <v>#REF!</v>
      </c>
      <c r="C331" s="497" t="e">
        <f t="shared" si="3"/>
        <v>#REF!</v>
      </c>
      <c r="D331" s="37"/>
    </row>
    <row r="332" spans="2:4" ht="16" x14ac:dyDescent="0.2">
      <c r="B332" s="41" t="e">
        <f>IF(H332="credit",#REF!, (#REF!* -1))</f>
        <v>#REF!</v>
      </c>
      <c r="C332" s="497" t="e">
        <f t="shared" si="3"/>
        <v>#REF!</v>
      </c>
      <c r="D332" s="37"/>
    </row>
    <row r="333" spans="2:4" ht="16" x14ac:dyDescent="0.2">
      <c r="B333" s="41" t="e">
        <f>IF(H333="credit",#REF!, (#REF!* -1))</f>
        <v>#REF!</v>
      </c>
      <c r="C333" s="497" t="e">
        <f t="shared" si="3"/>
        <v>#REF!</v>
      </c>
      <c r="D333" s="37"/>
    </row>
    <row r="334" spans="2:4" ht="16" x14ac:dyDescent="0.2">
      <c r="B334" s="41" t="e">
        <f>IF(H334="credit",#REF!, (#REF!* -1))</f>
        <v>#REF!</v>
      </c>
      <c r="C334" s="497" t="e">
        <f t="shared" si="3"/>
        <v>#REF!</v>
      </c>
      <c r="D334" s="37"/>
    </row>
    <row r="335" spans="2:4" ht="16" x14ac:dyDescent="0.2">
      <c r="B335" s="41" t="e">
        <f>IF(H335="credit",#REF!, (#REF!* -1))</f>
        <v>#REF!</v>
      </c>
      <c r="C335" s="497" t="e">
        <f t="shared" si="3"/>
        <v>#REF!</v>
      </c>
      <c r="D335" s="37"/>
    </row>
    <row r="336" spans="2:4" ht="16" x14ac:dyDescent="0.2">
      <c r="B336" s="41" t="e">
        <f>IF(H336="credit",#REF!, (#REF!* -1))</f>
        <v>#REF!</v>
      </c>
      <c r="C336" s="497" t="e">
        <f t="shared" si="3"/>
        <v>#REF!</v>
      </c>
      <c r="D336" s="37"/>
    </row>
    <row r="337" spans="2:4" ht="16" x14ac:dyDescent="0.2">
      <c r="B337" s="41" t="e">
        <f>IF(H337="credit",#REF!, (#REF!* -1))</f>
        <v>#REF!</v>
      </c>
      <c r="C337" s="497" t="e">
        <f t="shared" si="3"/>
        <v>#REF!</v>
      </c>
      <c r="D337" s="37"/>
    </row>
    <row r="338" spans="2:4" ht="16" x14ac:dyDescent="0.2">
      <c r="B338" s="41" t="e">
        <f>IF(H338="credit",#REF!, (#REF!* -1))</f>
        <v>#REF!</v>
      </c>
      <c r="C338" s="497" t="e">
        <f t="shared" si="3"/>
        <v>#REF!</v>
      </c>
      <c r="D338" s="37"/>
    </row>
    <row r="339" spans="2:4" ht="16" x14ac:dyDescent="0.2">
      <c r="B339" s="41" t="e">
        <f>IF(H339="credit",#REF!, (#REF!* -1))</f>
        <v>#REF!</v>
      </c>
      <c r="C339" s="497" t="e">
        <f t="shared" si="3"/>
        <v>#REF!</v>
      </c>
      <c r="D339" s="37"/>
    </row>
    <row r="340" spans="2:4" ht="16" x14ac:dyDescent="0.2">
      <c r="B340" s="41" t="e">
        <f>IF(H340="credit",#REF!, (#REF!* -1))</f>
        <v>#REF!</v>
      </c>
      <c r="C340" s="497" t="e">
        <f t="shared" si="3"/>
        <v>#REF!</v>
      </c>
      <c r="D340" s="37"/>
    </row>
    <row r="341" spans="2:4" ht="16" x14ac:dyDescent="0.2">
      <c r="B341" s="41" t="e">
        <f>IF(H341="credit",#REF!, (#REF!* -1))</f>
        <v>#REF!</v>
      </c>
      <c r="C341" s="497" t="e">
        <f t="shared" si="3"/>
        <v>#REF!</v>
      </c>
      <c r="D341" s="37"/>
    </row>
    <row r="342" spans="2:4" ht="16" x14ac:dyDescent="0.2">
      <c r="B342" s="41" t="e">
        <f>IF(H342="credit",#REF!, (#REF!* -1))</f>
        <v>#REF!</v>
      </c>
      <c r="C342" s="497" t="e">
        <f t="shared" si="3"/>
        <v>#REF!</v>
      </c>
      <c r="D342" s="37"/>
    </row>
    <row r="343" spans="2:4" ht="16" x14ac:dyDescent="0.2">
      <c r="B343" s="41" t="e">
        <f>IF(H343="credit",#REF!, (#REF!* -1))</f>
        <v>#REF!</v>
      </c>
      <c r="C343" s="497" t="e">
        <f t="shared" si="3"/>
        <v>#REF!</v>
      </c>
      <c r="D343" s="37"/>
    </row>
    <row r="344" spans="2:4" ht="16" x14ac:dyDescent="0.2">
      <c r="B344" s="41" t="e">
        <f>IF(H344="credit",#REF!, (#REF!* -1))</f>
        <v>#REF!</v>
      </c>
      <c r="C344" s="497" t="e">
        <f t="shared" si="3"/>
        <v>#REF!</v>
      </c>
      <c r="D344" s="37"/>
    </row>
    <row r="345" spans="2:4" ht="16" x14ac:dyDescent="0.2">
      <c r="B345" s="41" t="e">
        <f>IF(H345="credit",#REF!, (#REF!* -1))</f>
        <v>#REF!</v>
      </c>
      <c r="C345" s="497" t="e">
        <f t="shared" si="3"/>
        <v>#REF!</v>
      </c>
      <c r="D345" s="37"/>
    </row>
    <row r="346" spans="2:4" ht="16" x14ac:dyDescent="0.2">
      <c r="B346" s="41" t="e">
        <f>IF(H346="credit",#REF!, (#REF!* -1))</f>
        <v>#REF!</v>
      </c>
      <c r="C346" s="497" t="e">
        <f t="shared" si="3"/>
        <v>#REF!</v>
      </c>
      <c r="D346" s="37"/>
    </row>
    <row r="347" spans="2:4" ht="16" x14ac:dyDescent="0.2">
      <c r="B347" s="41" t="e">
        <f>IF(H347="credit",#REF!, (#REF!* -1))</f>
        <v>#REF!</v>
      </c>
      <c r="C347" s="497" t="e">
        <f t="shared" si="3"/>
        <v>#REF!</v>
      </c>
      <c r="D347" s="37"/>
    </row>
    <row r="348" spans="2:4" ht="16" x14ac:dyDescent="0.2">
      <c r="B348" s="41" t="e">
        <f>IF(H348="credit",#REF!, (#REF!* -1))</f>
        <v>#REF!</v>
      </c>
      <c r="C348" s="497" t="e">
        <f t="shared" si="3"/>
        <v>#REF!</v>
      </c>
      <c r="D348" s="37"/>
    </row>
    <row r="349" spans="2:4" ht="16" x14ac:dyDescent="0.2">
      <c r="B349" s="41" t="e">
        <f>IF(H349="credit",#REF!, (#REF!* -1))</f>
        <v>#REF!</v>
      </c>
      <c r="C349" s="497" t="e">
        <f t="shared" si="3"/>
        <v>#REF!</v>
      </c>
      <c r="D349" s="37"/>
    </row>
    <row r="350" spans="2:4" ht="16" x14ac:dyDescent="0.2">
      <c r="B350" s="41" t="e">
        <f>IF(H350="credit",#REF!, (#REF!* -1))</f>
        <v>#REF!</v>
      </c>
      <c r="C350" s="497" t="e">
        <f t="shared" si="3"/>
        <v>#REF!</v>
      </c>
      <c r="D350" s="37"/>
    </row>
    <row r="351" spans="2:4" ht="16" x14ac:dyDescent="0.2">
      <c r="B351" s="41" t="e">
        <f>IF(H351="credit",#REF!, (#REF!* -1))</f>
        <v>#REF!</v>
      </c>
      <c r="C351" s="497" t="e">
        <f t="shared" si="3"/>
        <v>#REF!</v>
      </c>
      <c r="D351" s="37"/>
    </row>
    <row r="352" spans="2:4" ht="16" x14ac:dyDescent="0.2">
      <c r="B352" s="41" t="e">
        <f>IF(H352="credit",#REF!, (#REF!* -1))</f>
        <v>#REF!</v>
      </c>
      <c r="C352" s="497" t="e">
        <f t="shared" si="3"/>
        <v>#REF!</v>
      </c>
      <c r="D352" s="37"/>
    </row>
    <row r="353" spans="2:4" ht="16" x14ac:dyDescent="0.2">
      <c r="B353" s="41" t="e">
        <f>IF(H353="credit",#REF!, (#REF!* -1))</f>
        <v>#REF!</v>
      </c>
      <c r="C353" s="497" t="e">
        <f t="shared" si="3"/>
        <v>#REF!</v>
      </c>
      <c r="D353" s="37"/>
    </row>
    <row r="354" spans="2:4" ht="16" x14ac:dyDescent="0.2">
      <c r="B354" s="41" t="e">
        <f>IF(H354="credit",#REF!, (#REF!* -1))</f>
        <v>#REF!</v>
      </c>
      <c r="C354" s="497" t="e">
        <f t="shared" si="3"/>
        <v>#REF!</v>
      </c>
      <c r="D354" s="37"/>
    </row>
    <row r="355" spans="2:4" ht="16" x14ac:dyDescent="0.2">
      <c r="B355" s="41" t="e">
        <f>IF(H355="credit",#REF!, (#REF!* -1))</f>
        <v>#REF!</v>
      </c>
      <c r="C355" s="497" t="e">
        <f t="shared" si="3"/>
        <v>#REF!</v>
      </c>
      <c r="D355" s="37"/>
    </row>
    <row r="356" spans="2:4" ht="16" x14ac:dyDescent="0.2">
      <c r="B356" s="41" t="e">
        <f>IF(H356="credit",#REF!, (#REF!* -1))</f>
        <v>#REF!</v>
      </c>
      <c r="C356" s="497" t="e">
        <f t="shared" si="3"/>
        <v>#REF!</v>
      </c>
      <c r="D356" s="37"/>
    </row>
    <row r="357" spans="2:4" ht="16" x14ac:dyDescent="0.2">
      <c r="B357" s="41" t="e">
        <f>IF(H357="credit",#REF!, (#REF!* -1))</f>
        <v>#REF!</v>
      </c>
      <c r="C357" s="497" t="e">
        <f t="shared" si="3"/>
        <v>#REF!</v>
      </c>
      <c r="D357" s="37"/>
    </row>
    <row r="358" spans="2:4" ht="16" x14ac:dyDescent="0.2">
      <c r="B358" s="41" t="e">
        <f>IF(H358="credit",#REF!, (#REF!* -1))</f>
        <v>#REF!</v>
      </c>
      <c r="C358" s="497" t="e">
        <f t="shared" si="3"/>
        <v>#REF!</v>
      </c>
      <c r="D358" s="37"/>
    </row>
    <row r="359" spans="2:4" ht="16" x14ac:dyDescent="0.2">
      <c r="B359" s="41" t="e">
        <f>IF(H359="credit",#REF!, (#REF!* -1))</f>
        <v>#REF!</v>
      </c>
      <c r="C359" s="497" t="e">
        <f t="shared" si="3"/>
        <v>#REF!</v>
      </c>
      <c r="D359" s="37"/>
    </row>
    <row r="360" spans="2:4" ht="16" x14ac:dyDescent="0.2">
      <c r="B360" s="41" t="e">
        <f>IF(H360="credit",#REF!, (#REF!* -1))</f>
        <v>#REF!</v>
      </c>
      <c r="C360" s="497" t="e">
        <f t="shared" si="3"/>
        <v>#REF!</v>
      </c>
      <c r="D360" s="37"/>
    </row>
    <row r="361" spans="2:4" ht="16" x14ac:dyDescent="0.2">
      <c r="B361" s="41" t="e">
        <f>IF(H361="credit",#REF!, (#REF!* -1))</f>
        <v>#REF!</v>
      </c>
      <c r="C361" s="497" t="e">
        <f t="shared" si="3"/>
        <v>#REF!</v>
      </c>
      <c r="D361" s="37"/>
    </row>
    <row r="362" spans="2:4" ht="16" x14ac:dyDescent="0.2">
      <c r="B362" s="41" t="e">
        <f>IF(H362="credit",#REF!, (#REF!* -1))</f>
        <v>#REF!</v>
      </c>
      <c r="C362" s="497" t="e">
        <f t="shared" si="3"/>
        <v>#REF!</v>
      </c>
      <c r="D362" s="37"/>
    </row>
    <row r="363" spans="2:4" ht="16" x14ac:dyDescent="0.2">
      <c r="B363" s="41" t="e">
        <f>IF(H363="credit",#REF!, (#REF!* -1))</f>
        <v>#REF!</v>
      </c>
      <c r="C363" s="497" t="e">
        <f t="shared" si="3"/>
        <v>#REF!</v>
      </c>
      <c r="D363" s="37"/>
    </row>
    <row r="364" spans="2:4" ht="16" x14ac:dyDescent="0.2">
      <c r="B364" s="41" t="e">
        <f>IF(H364="credit",#REF!, (#REF!* -1))</f>
        <v>#REF!</v>
      </c>
      <c r="C364" s="497" t="e">
        <f t="shared" si="3"/>
        <v>#REF!</v>
      </c>
      <c r="D364" s="37"/>
    </row>
    <row r="365" spans="2:4" ht="16" x14ac:dyDescent="0.2">
      <c r="B365" s="41" t="e">
        <f>IF(H365="credit",#REF!, (#REF!* -1))</f>
        <v>#REF!</v>
      </c>
      <c r="C365" s="497" t="e">
        <f t="shared" si="3"/>
        <v>#REF!</v>
      </c>
      <c r="D365" s="37"/>
    </row>
    <row r="366" spans="2:4" ht="16" x14ac:dyDescent="0.2">
      <c r="B366" s="41" t="e">
        <f>IF(H366="credit",#REF!, (#REF!* -1))</f>
        <v>#REF!</v>
      </c>
      <c r="C366" s="497" t="e">
        <f t="shared" si="3"/>
        <v>#REF!</v>
      </c>
      <c r="D366" s="37"/>
    </row>
    <row r="367" spans="2:4" ht="16" x14ac:dyDescent="0.2">
      <c r="B367" s="41" t="e">
        <f>IF(H367="credit",#REF!, (#REF!* -1))</f>
        <v>#REF!</v>
      </c>
      <c r="C367" s="497" t="e">
        <f t="shared" si="3"/>
        <v>#REF!</v>
      </c>
      <c r="D367" s="37"/>
    </row>
    <row r="368" spans="2:4" ht="16" x14ac:dyDescent="0.2">
      <c r="B368" s="41" t="e">
        <f>IF(H368="credit",#REF!, (#REF!* -1))</f>
        <v>#REF!</v>
      </c>
      <c r="C368" s="497" t="e">
        <f t="shared" si="3"/>
        <v>#REF!</v>
      </c>
      <c r="D368" s="37"/>
    </row>
    <row r="369" spans="2:11" ht="16" x14ac:dyDescent="0.2">
      <c r="B369" s="41" t="e">
        <f>IF(H369="credit",#REF!, (#REF!* -1))</f>
        <v>#REF!</v>
      </c>
      <c r="C369" s="497" t="e">
        <f t="shared" si="3"/>
        <v>#REF!</v>
      </c>
      <c r="D369" s="37"/>
    </row>
    <row r="370" spans="2:11" ht="16" x14ac:dyDescent="0.2">
      <c r="B370" s="41" t="e">
        <f>IF(H370="credit",#REF!, (#REF!* -1))</f>
        <v>#REF!</v>
      </c>
      <c r="C370" s="497" t="e">
        <f t="shared" si="3"/>
        <v>#REF!</v>
      </c>
      <c r="D370" s="37"/>
    </row>
    <row r="371" spans="2:11" ht="16" x14ac:dyDescent="0.2">
      <c r="B371" s="41" t="e">
        <f>IF(H371="credit",#REF!, (#REF!* -1))</f>
        <v>#REF!</v>
      </c>
      <c r="C371" s="497" t="e">
        <f t="shared" si="3"/>
        <v>#REF!</v>
      </c>
      <c r="D371" s="37"/>
    </row>
    <row r="372" spans="2:11" ht="16" x14ac:dyDescent="0.2">
      <c r="B372" s="41" t="e">
        <f>IF(H372="credit",#REF!, (#REF!* -1))</f>
        <v>#REF!</v>
      </c>
      <c r="C372" s="497" t="e">
        <f t="shared" si="3"/>
        <v>#REF!</v>
      </c>
      <c r="D372" s="37"/>
    </row>
    <row r="373" spans="2:11" ht="16" x14ac:dyDescent="0.2">
      <c r="B373" s="41" t="e">
        <f>IF(H373="credit",#REF!, (#REF!* -1))</f>
        <v>#REF!</v>
      </c>
      <c r="C373" s="497" t="e">
        <f t="shared" si="3"/>
        <v>#REF!</v>
      </c>
      <c r="D373" s="37"/>
    </row>
    <row r="374" spans="2:11" ht="16" x14ac:dyDescent="0.2">
      <c r="B374" s="41" t="e">
        <f>IF(H374="credit",#REF!, (#REF!* -1))</f>
        <v>#REF!</v>
      </c>
      <c r="C374" s="497" t="e">
        <f t="shared" si="3"/>
        <v>#REF!</v>
      </c>
      <c r="D374" s="37"/>
    </row>
    <row r="375" spans="2:11" ht="16" x14ac:dyDescent="0.2">
      <c r="B375" s="41" t="e">
        <f>IF(H375="credit",#REF!, (#REF!* -1))</f>
        <v>#REF!</v>
      </c>
      <c r="C375" s="497" t="e">
        <f t="shared" si="3"/>
        <v>#REF!</v>
      </c>
      <c r="D375" s="37"/>
    </row>
    <row r="376" spans="2:11" ht="16" x14ac:dyDescent="0.2">
      <c r="B376" s="41" t="e">
        <f>IF(H376="credit",#REF!, (#REF!* -1))</f>
        <v>#REF!</v>
      </c>
      <c r="C376" s="497" t="e">
        <f t="shared" si="3"/>
        <v>#REF!</v>
      </c>
      <c r="D376" s="37"/>
    </row>
    <row r="377" spans="2:11" ht="16" x14ac:dyDescent="0.2">
      <c r="B377" s="41" t="e">
        <f>IF(H377="credit",#REF!, (#REF!* -1))</f>
        <v>#REF!</v>
      </c>
      <c r="C377" s="497" t="e">
        <f t="shared" si="3"/>
        <v>#REF!</v>
      </c>
      <c r="D377" s="37"/>
    </row>
    <row r="378" spans="2:11" ht="16" x14ac:dyDescent="0.2">
      <c r="B378" s="41" t="e">
        <f>IF(H378="credit",#REF!, (#REF!* -1))</f>
        <v>#REF!</v>
      </c>
      <c r="C378" s="497" t="e">
        <f t="shared" si="3"/>
        <v>#REF!</v>
      </c>
      <c r="D378" s="37"/>
      <c r="K378" s="276"/>
    </row>
    <row r="379" spans="2:11" ht="16" x14ac:dyDescent="0.2">
      <c r="B379" s="41" t="e">
        <f>IF(H379="credit",#REF!, (#REF!* -1))</f>
        <v>#REF!</v>
      </c>
      <c r="C379" s="497" t="e">
        <f t="shared" si="3"/>
        <v>#REF!</v>
      </c>
      <c r="D379" s="37"/>
      <c r="K379" s="276"/>
    </row>
    <row r="380" spans="2:11" ht="16" x14ac:dyDescent="0.2">
      <c r="B380" s="41" t="e">
        <f>IF(H380="credit",#REF!, (#REF!* -1))</f>
        <v>#REF!</v>
      </c>
      <c r="C380" s="497" t="e">
        <f t="shared" si="3"/>
        <v>#REF!</v>
      </c>
      <c r="D380" s="37"/>
      <c r="K380" s="276"/>
    </row>
    <row r="381" spans="2:11" ht="16" x14ac:dyDescent="0.2">
      <c r="B381" s="41" t="e">
        <f>IF(H381="credit",#REF!, (#REF!* -1))</f>
        <v>#REF!</v>
      </c>
      <c r="C381" s="497" t="e">
        <f t="shared" si="3"/>
        <v>#REF!</v>
      </c>
      <c r="D381" s="37"/>
    </row>
    <row r="382" spans="2:11" ht="16" x14ac:dyDescent="0.2">
      <c r="B382" s="41" t="e">
        <f>IF(H382="credit",#REF!, (#REF!* -1))</f>
        <v>#REF!</v>
      </c>
      <c r="C382" s="497" t="e">
        <f t="shared" si="3"/>
        <v>#REF!</v>
      </c>
      <c r="D382" s="37"/>
    </row>
    <row r="383" spans="2:11" ht="16" x14ac:dyDescent="0.2">
      <c r="B383" s="41" t="e">
        <f>IF(H383="credit",#REF!, (#REF!* -1))</f>
        <v>#REF!</v>
      </c>
      <c r="C383" s="497" t="e">
        <f t="shared" si="3"/>
        <v>#REF!</v>
      </c>
      <c r="D383" s="37"/>
    </row>
    <row r="384" spans="2:11" ht="16" x14ac:dyDescent="0.2">
      <c r="B384" s="41" t="e">
        <f>IF(H384="credit",#REF!, (#REF!* -1))</f>
        <v>#REF!</v>
      </c>
      <c r="C384" s="497" t="e">
        <f t="shared" si="3"/>
        <v>#REF!</v>
      </c>
      <c r="D384" s="37"/>
    </row>
    <row r="385" spans="2:11" ht="16" x14ac:dyDescent="0.2">
      <c r="B385" s="41" t="e">
        <f>IF(H385="credit",#REF!, (#REF!* -1))</f>
        <v>#REF!</v>
      </c>
      <c r="C385" s="497" t="e">
        <f t="shared" si="3"/>
        <v>#REF!</v>
      </c>
      <c r="D385" s="37"/>
    </row>
    <row r="386" spans="2:11" ht="16" x14ac:dyDescent="0.2">
      <c r="B386" s="41" t="e">
        <f>IF(H386="credit",#REF!, (#REF!* -1))</f>
        <v>#REF!</v>
      </c>
      <c r="C386" s="497" t="e">
        <f t="shared" si="3"/>
        <v>#REF!</v>
      </c>
      <c r="D386" s="37"/>
    </row>
    <row r="387" spans="2:11" ht="16" x14ac:dyDescent="0.2">
      <c r="B387" s="41" t="e">
        <f>IF(H387="credit",#REF!, (#REF!* -1))</f>
        <v>#REF!</v>
      </c>
      <c r="C387" s="497" t="e">
        <f t="shared" si="3"/>
        <v>#REF!</v>
      </c>
      <c r="D387" s="37"/>
    </row>
    <row r="388" spans="2:11" ht="16" x14ac:dyDescent="0.2">
      <c r="B388" s="41" t="e">
        <f>IF(H388="credit",#REF!, (#REF!* -1))</f>
        <v>#REF!</v>
      </c>
      <c r="C388" s="497" t="e">
        <f t="shared" ref="C388:C451" si="4">C387+B388</f>
        <v>#REF!</v>
      </c>
      <c r="D388" s="37"/>
    </row>
    <row r="389" spans="2:11" ht="16" x14ac:dyDescent="0.2">
      <c r="B389" s="41" t="e">
        <f>IF(H389="credit",#REF!, (#REF!* -1))</f>
        <v>#REF!</v>
      </c>
      <c r="C389" s="497" t="e">
        <f t="shared" si="4"/>
        <v>#REF!</v>
      </c>
      <c r="D389" s="37"/>
    </row>
    <row r="390" spans="2:11" ht="16" x14ac:dyDescent="0.2">
      <c r="B390" s="41" t="e">
        <f>IF(H390="credit",#REF!, (#REF!* -1))</f>
        <v>#REF!</v>
      </c>
      <c r="C390" s="497" t="e">
        <f t="shared" si="4"/>
        <v>#REF!</v>
      </c>
      <c r="D390" s="37"/>
    </row>
    <row r="391" spans="2:11" ht="16" x14ac:dyDescent="0.2">
      <c r="B391" s="41" t="e">
        <f>IF(H391="credit",#REF!, (#REF!* -1))</f>
        <v>#REF!</v>
      </c>
      <c r="C391" s="497" t="e">
        <f t="shared" si="4"/>
        <v>#REF!</v>
      </c>
      <c r="D391" s="37"/>
    </row>
    <row r="392" spans="2:11" ht="16" x14ac:dyDescent="0.2">
      <c r="B392" s="41" t="e">
        <f>IF(H392="credit",#REF!, (#REF!* -1))</f>
        <v>#REF!</v>
      </c>
      <c r="C392" s="497" t="e">
        <f t="shared" si="4"/>
        <v>#REF!</v>
      </c>
      <c r="D392" s="37"/>
    </row>
    <row r="393" spans="2:11" ht="16" x14ac:dyDescent="0.2">
      <c r="B393" s="41" t="e">
        <f>IF(H393="credit",#REF!, (#REF!* -1))</f>
        <v>#REF!</v>
      </c>
      <c r="C393" s="497" t="e">
        <f t="shared" si="4"/>
        <v>#REF!</v>
      </c>
      <c r="D393" s="37"/>
    </row>
    <row r="394" spans="2:11" ht="16" x14ac:dyDescent="0.2">
      <c r="B394" s="41" t="e">
        <f>IF(H394="credit",#REF!, (#REF!* -1))</f>
        <v>#REF!</v>
      </c>
      <c r="C394" s="497" t="e">
        <f t="shared" si="4"/>
        <v>#REF!</v>
      </c>
      <c r="D394" s="37"/>
    </row>
    <row r="395" spans="2:11" ht="16" x14ac:dyDescent="0.2">
      <c r="B395" s="41" t="e">
        <f>IF(H395="credit",#REF!, (#REF!* -1))</f>
        <v>#REF!</v>
      </c>
      <c r="C395" s="497" t="e">
        <f t="shared" si="4"/>
        <v>#REF!</v>
      </c>
      <c r="D395" s="37"/>
    </row>
    <row r="396" spans="2:11" ht="16" x14ac:dyDescent="0.2">
      <c r="B396" s="41" t="e">
        <f>IF(H396="credit",#REF!, (#REF!* -1))</f>
        <v>#REF!</v>
      </c>
      <c r="C396" s="497" t="e">
        <f t="shared" si="4"/>
        <v>#REF!</v>
      </c>
      <c r="D396" s="37"/>
    </row>
    <row r="397" spans="2:11" ht="16" x14ac:dyDescent="0.2">
      <c r="B397" s="41" t="e">
        <f>IF(H397="credit",#REF!, (#REF!* -1))</f>
        <v>#REF!</v>
      </c>
      <c r="C397" s="497" t="e">
        <f t="shared" si="4"/>
        <v>#REF!</v>
      </c>
      <c r="D397" s="37"/>
      <c r="K397" s="276"/>
    </row>
    <row r="398" spans="2:11" ht="16" x14ac:dyDescent="0.2">
      <c r="B398" s="41" t="e">
        <f>IF(H398="credit",#REF!, (#REF!* -1))</f>
        <v>#REF!</v>
      </c>
      <c r="C398" s="497" t="e">
        <f t="shared" si="4"/>
        <v>#REF!</v>
      </c>
      <c r="D398" s="37"/>
    </row>
    <row r="399" spans="2:11" ht="16" x14ac:dyDescent="0.2">
      <c r="B399" s="41" t="e">
        <f>IF(H399="credit",#REF!, (#REF!* -1))</f>
        <v>#REF!</v>
      </c>
      <c r="C399" s="497" t="e">
        <f t="shared" si="4"/>
        <v>#REF!</v>
      </c>
      <c r="D399" s="37"/>
    </row>
    <row r="400" spans="2:11" ht="16" x14ac:dyDescent="0.2">
      <c r="B400" s="41" t="e">
        <f>IF(H400="credit",#REF!, (#REF!* -1))</f>
        <v>#REF!</v>
      </c>
      <c r="C400" s="497" t="e">
        <f t="shared" si="4"/>
        <v>#REF!</v>
      </c>
      <c r="D400" s="37"/>
    </row>
    <row r="401" spans="2:4" ht="16" x14ac:dyDescent="0.2">
      <c r="B401" s="41" t="e">
        <f>IF(H401="credit",#REF!, (#REF!* -1))</f>
        <v>#REF!</v>
      </c>
      <c r="C401" s="497" t="e">
        <f t="shared" si="4"/>
        <v>#REF!</v>
      </c>
      <c r="D401" s="37"/>
    </row>
    <row r="402" spans="2:4" ht="16" x14ac:dyDescent="0.2">
      <c r="B402" s="41" t="e">
        <f>IF(H402="credit",#REF!, (#REF!* -1))</f>
        <v>#REF!</v>
      </c>
      <c r="C402" s="497" t="e">
        <f t="shared" si="4"/>
        <v>#REF!</v>
      </c>
      <c r="D402" s="37"/>
    </row>
    <row r="403" spans="2:4" ht="16" x14ac:dyDescent="0.2">
      <c r="B403" s="41" t="e">
        <f>IF(H403="credit",#REF!, (#REF!* -1))</f>
        <v>#REF!</v>
      </c>
      <c r="C403" s="497" t="e">
        <f t="shared" si="4"/>
        <v>#REF!</v>
      </c>
      <c r="D403" s="37"/>
    </row>
    <row r="404" spans="2:4" ht="16" x14ac:dyDescent="0.2">
      <c r="B404" s="41" t="e">
        <f>IF(H404="credit",#REF!, (#REF!* -1))</f>
        <v>#REF!</v>
      </c>
      <c r="C404" s="497" t="e">
        <f t="shared" si="4"/>
        <v>#REF!</v>
      </c>
      <c r="D404" s="37"/>
    </row>
    <row r="405" spans="2:4" ht="16" x14ac:dyDescent="0.2">
      <c r="B405" s="41" t="e">
        <f>IF(H405="credit",#REF!, (#REF!* -1))</f>
        <v>#REF!</v>
      </c>
      <c r="C405" s="497" t="e">
        <f t="shared" si="4"/>
        <v>#REF!</v>
      </c>
      <c r="D405" s="37"/>
    </row>
    <row r="406" spans="2:4" ht="16" x14ac:dyDescent="0.2">
      <c r="B406" s="41" t="e">
        <f>IF(H406="credit",#REF!, (#REF!* -1))</f>
        <v>#REF!</v>
      </c>
      <c r="C406" s="497" t="e">
        <f t="shared" si="4"/>
        <v>#REF!</v>
      </c>
      <c r="D406" s="37"/>
    </row>
    <row r="407" spans="2:4" ht="16" x14ac:dyDescent="0.2">
      <c r="B407" s="41" t="e">
        <f>IF(H407="credit",#REF!, (#REF!* -1))</f>
        <v>#REF!</v>
      </c>
      <c r="C407" s="497" t="e">
        <f t="shared" si="4"/>
        <v>#REF!</v>
      </c>
      <c r="D407" s="37"/>
    </row>
    <row r="408" spans="2:4" ht="16" x14ac:dyDescent="0.2">
      <c r="B408" s="41" t="e">
        <f>IF(H408="credit",#REF!, (#REF!* -1))</f>
        <v>#REF!</v>
      </c>
      <c r="C408" s="497" t="e">
        <f t="shared" si="4"/>
        <v>#REF!</v>
      </c>
      <c r="D408" s="37"/>
    </row>
    <row r="409" spans="2:4" ht="16" x14ac:dyDescent="0.2">
      <c r="B409" s="41" t="e">
        <f>IF(H409="credit",#REF!, (#REF!* -1))</f>
        <v>#REF!</v>
      </c>
      <c r="C409" s="497" t="e">
        <f t="shared" si="4"/>
        <v>#REF!</v>
      </c>
      <c r="D409" s="37"/>
    </row>
    <row r="410" spans="2:4" ht="16" x14ac:dyDescent="0.2">
      <c r="B410" s="41" t="e">
        <f>IF(H410="credit",#REF!, (#REF!* -1))</f>
        <v>#REF!</v>
      </c>
      <c r="C410" s="497" t="e">
        <f t="shared" si="4"/>
        <v>#REF!</v>
      </c>
      <c r="D410" s="37"/>
    </row>
    <row r="411" spans="2:4" ht="16" x14ac:dyDescent="0.2">
      <c r="B411" s="41" t="e">
        <f>IF(H411="credit",#REF!, (#REF!* -1))</f>
        <v>#REF!</v>
      </c>
      <c r="C411" s="497" t="e">
        <f t="shared" si="4"/>
        <v>#REF!</v>
      </c>
      <c r="D411" s="37"/>
    </row>
    <row r="412" spans="2:4" ht="16" x14ac:dyDescent="0.2">
      <c r="B412" s="41" t="e">
        <f>IF(H412="credit",#REF!, (#REF!* -1))</f>
        <v>#REF!</v>
      </c>
      <c r="C412" s="497" t="e">
        <f t="shared" si="4"/>
        <v>#REF!</v>
      </c>
      <c r="D412" s="37"/>
    </row>
    <row r="413" spans="2:4" ht="16" x14ac:dyDescent="0.2">
      <c r="B413" s="41" t="e">
        <f>IF(H413="credit",#REF!, (#REF!* -1))</f>
        <v>#REF!</v>
      </c>
      <c r="C413" s="497" t="e">
        <f t="shared" si="4"/>
        <v>#REF!</v>
      </c>
      <c r="D413" s="37"/>
    </row>
    <row r="414" spans="2:4" ht="16" x14ac:dyDescent="0.2">
      <c r="B414" s="41" t="e">
        <f>IF(H414="credit",#REF!, (#REF!* -1))</f>
        <v>#REF!</v>
      </c>
      <c r="C414" s="497" t="e">
        <f t="shared" si="4"/>
        <v>#REF!</v>
      </c>
      <c r="D414" s="37"/>
    </row>
    <row r="415" spans="2:4" ht="16" x14ac:dyDescent="0.2">
      <c r="B415" s="41" t="e">
        <f>IF(H415="credit",#REF!, (#REF!* -1))</f>
        <v>#REF!</v>
      </c>
      <c r="C415" s="497" t="e">
        <f t="shared" si="4"/>
        <v>#REF!</v>
      </c>
      <c r="D415" s="37"/>
    </row>
    <row r="416" spans="2:4" ht="16" x14ac:dyDescent="0.2">
      <c r="B416" s="41" t="e">
        <f>IF(H416="credit",#REF!, (#REF!* -1))</f>
        <v>#REF!</v>
      </c>
      <c r="C416" s="497" t="e">
        <f t="shared" si="4"/>
        <v>#REF!</v>
      </c>
      <c r="D416" s="37"/>
    </row>
    <row r="417" spans="2:4" ht="16" x14ac:dyDescent="0.2">
      <c r="B417" s="41" t="e">
        <f>IF(H417="credit",#REF!, (#REF!* -1))</f>
        <v>#REF!</v>
      </c>
      <c r="C417" s="497" t="e">
        <f t="shared" si="4"/>
        <v>#REF!</v>
      </c>
      <c r="D417" s="37"/>
    </row>
    <row r="418" spans="2:4" ht="16" x14ac:dyDescent="0.2">
      <c r="B418" s="41" t="e">
        <f>IF(H418="credit",#REF!, (#REF!* -1))</f>
        <v>#REF!</v>
      </c>
      <c r="C418" s="497" t="e">
        <f t="shared" si="4"/>
        <v>#REF!</v>
      </c>
      <c r="D418" s="37"/>
    </row>
    <row r="419" spans="2:4" ht="16" x14ac:dyDescent="0.2">
      <c r="B419" s="41" t="e">
        <f>IF(H419="credit",#REF!, (#REF!* -1))</f>
        <v>#REF!</v>
      </c>
      <c r="C419" s="497" t="e">
        <f t="shared" si="4"/>
        <v>#REF!</v>
      </c>
      <c r="D419" s="37"/>
    </row>
    <row r="420" spans="2:4" ht="16" x14ac:dyDescent="0.2">
      <c r="B420" s="41" t="e">
        <f>IF(H420="credit",#REF!, (#REF!* -1))</f>
        <v>#REF!</v>
      </c>
      <c r="C420" s="497" t="e">
        <f t="shared" si="4"/>
        <v>#REF!</v>
      </c>
      <c r="D420" s="37"/>
    </row>
    <row r="421" spans="2:4" ht="16" x14ac:dyDescent="0.2">
      <c r="B421" s="41" t="e">
        <f>IF(H421="credit",#REF!, (#REF!* -1))</f>
        <v>#REF!</v>
      </c>
      <c r="C421" s="497" t="e">
        <f t="shared" si="4"/>
        <v>#REF!</v>
      </c>
      <c r="D421" s="37"/>
    </row>
    <row r="422" spans="2:4" ht="16" x14ac:dyDescent="0.2">
      <c r="B422" s="41" t="e">
        <f>IF(H422="credit",#REF!, (#REF!* -1))</f>
        <v>#REF!</v>
      </c>
      <c r="C422" s="497" t="e">
        <f t="shared" si="4"/>
        <v>#REF!</v>
      </c>
      <c r="D422" s="37"/>
    </row>
    <row r="423" spans="2:4" ht="16" x14ac:dyDescent="0.2">
      <c r="B423" s="41" t="e">
        <f>IF(H423="credit",#REF!, (#REF!* -1))</f>
        <v>#REF!</v>
      </c>
      <c r="C423" s="497" t="e">
        <f t="shared" si="4"/>
        <v>#REF!</v>
      </c>
      <c r="D423" s="37"/>
    </row>
    <row r="424" spans="2:4" ht="16" x14ac:dyDescent="0.2">
      <c r="B424" s="41" t="e">
        <f>IF(H424="credit",#REF!, (#REF!* -1))</f>
        <v>#REF!</v>
      </c>
      <c r="C424" s="497" t="e">
        <f t="shared" si="4"/>
        <v>#REF!</v>
      </c>
      <c r="D424" s="37"/>
    </row>
    <row r="425" spans="2:4" ht="16" x14ac:dyDescent="0.2">
      <c r="B425" s="41" t="e">
        <f>IF(H425="credit",#REF!, (#REF!* -1))</f>
        <v>#REF!</v>
      </c>
      <c r="C425" s="497" t="e">
        <f t="shared" si="4"/>
        <v>#REF!</v>
      </c>
      <c r="D425" s="37"/>
    </row>
    <row r="426" spans="2:4" ht="16" x14ac:dyDescent="0.2">
      <c r="B426" s="41" t="e">
        <f>IF(H426="credit",#REF!, (#REF!* -1))</f>
        <v>#REF!</v>
      </c>
      <c r="C426" s="497" t="e">
        <f t="shared" si="4"/>
        <v>#REF!</v>
      </c>
      <c r="D426" s="37"/>
    </row>
    <row r="427" spans="2:4" ht="16" x14ac:dyDescent="0.2">
      <c r="B427" s="41" t="e">
        <f>IF(H427="credit",#REF!, (#REF!* -1))</f>
        <v>#REF!</v>
      </c>
      <c r="C427" s="497" t="e">
        <f t="shared" si="4"/>
        <v>#REF!</v>
      </c>
      <c r="D427" s="37"/>
    </row>
    <row r="428" spans="2:4" ht="16" x14ac:dyDescent="0.2">
      <c r="B428" s="41" t="e">
        <f>IF(H428="credit",#REF!, (#REF!* -1))</f>
        <v>#REF!</v>
      </c>
      <c r="C428" s="497" t="e">
        <f t="shared" si="4"/>
        <v>#REF!</v>
      </c>
      <c r="D428" s="37"/>
    </row>
    <row r="429" spans="2:4" ht="16" x14ac:dyDescent="0.2">
      <c r="B429" s="41" t="e">
        <f>IF(H429="credit",#REF!, (#REF!* -1))</f>
        <v>#REF!</v>
      </c>
      <c r="C429" s="497" t="e">
        <f t="shared" si="4"/>
        <v>#REF!</v>
      </c>
      <c r="D429" s="37"/>
    </row>
    <row r="430" spans="2:4" ht="16" x14ac:dyDescent="0.2">
      <c r="B430" s="41" t="e">
        <f>IF(H430="credit",#REF!, (#REF!* -1))</f>
        <v>#REF!</v>
      </c>
      <c r="C430" s="497" t="e">
        <f t="shared" si="4"/>
        <v>#REF!</v>
      </c>
      <c r="D430" s="37"/>
    </row>
    <row r="431" spans="2:4" ht="16" x14ac:dyDescent="0.2">
      <c r="B431" s="41" t="e">
        <f>IF(H431="credit",#REF!, (#REF!* -1))</f>
        <v>#REF!</v>
      </c>
      <c r="C431" s="497" t="e">
        <f t="shared" si="4"/>
        <v>#REF!</v>
      </c>
      <c r="D431" s="37"/>
    </row>
    <row r="432" spans="2:4" ht="16" x14ac:dyDescent="0.2">
      <c r="B432" s="41" t="e">
        <f>IF(H432="credit",#REF!, (#REF!* -1))</f>
        <v>#REF!</v>
      </c>
      <c r="C432" s="497" t="e">
        <f t="shared" si="4"/>
        <v>#REF!</v>
      </c>
      <c r="D432" s="37"/>
    </row>
    <row r="433" spans="2:4" ht="16" x14ac:dyDescent="0.2">
      <c r="B433" s="41" t="e">
        <f>IF(H433="credit",#REF!, (#REF!* -1))</f>
        <v>#REF!</v>
      </c>
      <c r="C433" s="497" t="e">
        <f t="shared" si="4"/>
        <v>#REF!</v>
      </c>
      <c r="D433" s="37"/>
    </row>
    <row r="434" spans="2:4" ht="16" x14ac:dyDescent="0.2">
      <c r="B434" s="41" t="e">
        <f>IF(H434="credit",#REF!, (#REF!* -1))</f>
        <v>#REF!</v>
      </c>
      <c r="C434" s="497" t="e">
        <f t="shared" si="4"/>
        <v>#REF!</v>
      </c>
      <c r="D434" s="37"/>
    </row>
    <row r="435" spans="2:4" ht="16" x14ac:dyDescent="0.2">
      <c r="B435" s="41" t="e">
        <f>IF(H435="credit",#REF!, (#REF!* -1))</f>
        <v>#REF!</v>
      </c>
      <c r="C435" s="497" t="e">
        <f t="shared" si="4"/>
        <v>#REF!</v>
      </c>
      <c r="D435" s="37"/>
    </row>
    <row r="436" spans="2:4" ht="16" x14ac:dyDescent="0.2">
      <c r="B436" s="41" t="e">
        <f>IF(H436="credit",#REF!, (#REF!* -1))</f>
        <v>#REF!</v>
      </c>
      <c r="C436" s="497" t="e">
        <f t="shared" si="4"/>
        <v>#REF!</v>
      </c>
      <c r="D436" s="37"/>
    </row>
    <row r="437" spans="2:4" ht="16" x14ac:dyDescent="0.2">
      <c r="B437" s="41" t="e">
        <f>IF(H437="credit",#REF!, (#REF!* -1))</f>
        <v>#REF!</v>
      </c>
      <c r="C437" s="497" t="e">
        <f t="shared" si="4"/>
        <v>#REF!</v>
      </c>
      <c r="D437" s="37"/>
    </row>
    <row r="438" spans="2:4" ht="16" x14ac:dyDescent="0.2">
      <c r="B438" s="41" t="e">
        <f>IF(H438="credit",#REF!, (#REF!* -1))</f>
        <v>#REF!</v>
      </c>
      <c r="C438" s="497" t="e">
        <f t="shared" si="4"/>
        <v>#REF!</v>
      </c>
      <c r="D438" s="37"/>
    </row>
    <row r="439" spans="2:4" ht="16" x14ac:dyDescent="0.2">
      <c r="B439" s="41" t="e">
        <f>IF(H439="credit",#REF!, (#REF!* -1))</f>
        <v>#REF!</v>
      </c>
      <c r="C439" s="497" t="e">
        <f t="shared" si="4"/>
        <v>#REF!</v>
      </c>
      <c r="D439" s="37"/>
    </row>
    <row r="440" spans="2:4" ht="16" x14ac:dyDescent="0.2">
      <c r="B440" s="41" t="e">
        <f>IF(H440="credit",#REF!, (#REF!* -1))</f>
        <v>#REF!</v>
      </c>
      <c r="C440" s="497" t="e">
        <f t="shared" si="4"/>
        <v>#REF!</v>
      </c>
      <c r="D440" s="37"/>
    </row>
    <row r="441" spans="2:4" ht="16" x14ac:dyDescent="0.2">
      <c r="B441" s="41" t="e">
        <f>IF(H441="credit",#REF!, (#REF!* -1))</f>
        <v>#REF!</v>
      </c>
      <c r="C441" s="497" t="e">
        <f t="shared" si="4"/>
        <v>#REF!</v>
      </c>
      <c r="D441" s="37"/>
    </row>
    <row r="442" spans="2:4" ht="16" x14ac:dyDescent="0.2">
      <c r="B442" s="41" t="e">
        <f>IF(H442="credit",#REF!, (#REF!* -1))</f>
        <v>#REF!</v>
      </c>
      <c r="C442" s="497" t="e">
        <f t="shared" si="4"/>
        <v>#REF!</v>
      </c>
      <c r="D442" s="37"/>
    </row>
    <row r="443" spans="2:4" ht="16" x14ac:dyDescent="0.2">
      <c r="B443" s="41" t="e">
        <f>IF(H443="credit",#REF!, (#REF!* -1))</f>
        <v>#REF!</v>
      </c>
      <c r="C443" s="497" t="e">
        <f t="shared" si="4"/>
        <v>#REF!</v>
      </c>
      <c r="D443" s="37"/>
    </row>
    <row r="444" spans="2:4" ht="16" x14ac:dyDescent="0.2">
      <c r="B444" s="41" t="e">
        <f>IF(H444="credit",#REF!, (#REF!* -1))</f>
        <v>#REF!</v>
      </c>
      <c r="C444" s="497" t="e">
        <f t="shared" si="4"/>
        <v>#REF!</v>
      </c>
      <c r="D444" s="37"/>
    </row>
    <row r="445" spans="2:4" ht="16" x14ac:dyDescent="0.2">
      <c r="B445" s="41" t="e">
        <f>IF(H445="credit",#REF!, (#REF!* -1))</f>
        <v>#REF!</v>
      </c>
      <c r="C445" s="497" t="e">
        <f t="shared" si="4"/>
        <v>#REF!</v>
      </c>
      <c r="D445" s="37"/>
    </row>
    <row r="446" spans="2:4" ht="16" x14ac:dyDescent="0.2">
      <c r="B446" s="41" t="e">
        <f>IF(H446="credit",#REF!, (#REF!* -1))</f>
        <v>#REF!</v>
      </c>
      <c r="C446" s="497" t="e">
        <f t="shared" si="4"/>
        <v>#REF!</v>
      </c>
      <c r="D446" s="37"/>
    </row>
    <row r="447" spans="2:4" ht="16" x14ac:dyDescent="0.2">
      <c r="B447" s="41" t="e">
        <f>IF(H447="credit",#REF!, (#REF!* -1))</f>
        <v>#REF!</v>
      </c>
      <c r="C447" s="497" t="e">
        <f t="shared" si="4"/>
        <v>#REF!</v>
      </c>
      <c r="D447" s="37"/>
    </row>
    <row r="448" spans="2:4" ht="16" x14ac:dyDescent="0.2">
      <c r="B448" s="41" t="e">
        <f>IF(H448="credit",#REF!, (#REF!* -1))</f>
        <v>#REF!</v>
      </c>
      <c r="C448" s="497" t="e">
        <f t="shared" si="4"/>
        <v>#REF!</v>
      </c>
      <c r="D448" s="37"/>
    </row>
    <row r="449" spans="2:4" ht="16" x14ac:dyDescent="0.2">
      <c r="B449" s="41" t="e">
        <f>IF(H449="credit",#REF!, (#REF!* -1))</f>
        <v>#REF!</v>
      </c>
      <c r="C449" s="497" t="e">
        <f t="shared" si="4"/>
        <v>#REF!</v>
      </c>
      <c r="D449" s="37"/>
    </row>
    <row r="450" spans="2:4" ht="16" x14ac:dyDescent="0.2">
      <c r="B450" s="41" t="e">
        <f>IF(H450="credit",#REF!, (#REF!* -1))</f>
        <v>#REF!</v>
      </c>
      <c r="C450" s="497" t="e">
        <f t="shared" si="4"/>
        <v>#REF!</v>
      </c>
      <c r="D450" s="37"/>
    </row>
    <row r="451" spans="2:4" ht="16" x14ac:dyDescent="0.2">
      <c r="B451" s="41" t="e">
        <f>IF(H451="credit",#REF!, (#REF!* -1))</f>
        <v>#REF!</v>
      </c>
      <c r="C451" s="497" t="e">
        <f t="shared" si="4"/>
        <v>#REF!</v>
      </c>
      <c r="D451" s="37"/>
    </row>
    <row r="452" spans="2:4" ht="16" x14ac:dyDescent="0.2">
      <c r="B452" s="41" t="e">
        <f>IF(H452="credit",#REF!, (#REF!* -1))</f>
        <v>#REF!</v>
      </c>
      <c r="C452" s="497" t="e">
        <f t="shared" ref="C452:C515" si="5">C451+B452</f>
        <v>#REF!</v>
      </c>
      <c r="D452" s="37"/>
    </row>
    <row r="453" spans="2:4" ht="16" x14ac:dyDescent="0.2">
      <c r="B453" s="41" t="e">
        <f>IF(H453="credit",#REF!, (#REF!* -1))</f>
        <v>#REF!</v>
      </c>
      <c r="C453" s="497" t="e">
        <f t="shared" si="5"/>
        <v>#REF!</v>
      </c>
      <c r="D453" s="37"/>
    </row>
    <row r="454" spans="2:4" ht="16" x14ac:dyDescent="0.2">
      <c r="B454" s="41" t="e">
        <f>IF(H454="credit",#REF!, (#REF!* -1))</f>
        <v>#REF!</v>
      </c>
      <c r="C454" s="497" t="e">
        <f t="shared" si="5"/>
        <v>#REF!</v>
      </c>
      <c r="D454" s="37"/>
    </row>
    <row r="455" spans="2:4" ht="16" x14ac:dyDescent="0.2">
      <c r="B455" s="41" t="e">
        <f>IF(H455="credit",#REF!, (#REF!* -1))</f>
        <v>#REF!</v>
      </c>
      <c r="C455" s="497" t="e">
        <f t="shared" si="5"/>
        <v>#REF!</v>
      </c>
      <c r="D455" s="37"/>
    </row>
    <row r="456" spans="2:4" ht="16" x14ac:dyDescent="0.2">
      <c r="B456" s="41" t="e">
        <f>IF(H456="credit",#REF!, (#REF!* -1))</f>
        <v>#REF!</v>
      </c>
      <c r="C456" s="497" t="e">
        <f t="shared" si="5"/>
        <v>#REF!</v>
      </c>
      <c r="D456" s="37"/>
    </row>
    <row r="457" spans="2:4" ht="16" x14ac:dyDescent="0.2">
      <c r="B457" s="41" t="e">
        <f>IF(H457="credit",#REF!, (#REF!* -1))</f>
        <v>#REF!</v>
      </c>
      <c r="C457" s="497" t="e">
        <f t="shared" si="5"/>
        <v>#REF!</v>
      </c>
      <c r="D457" s="37"/>
    </row>
    <row r="458" spans="2:4" ht="16" x14ac:dyDescent="0.2">
      <c r="B458" s="41" t="e">
        <f>IF(H458="credit",#REF!, (#REF!* -1))</f>
        <v>#REF!</v>
      </c>
      <c r="C458" s="497" t="e">
        <f t="shared" si="5"/>
        <v>#REF!</v>
      </c>
      <c r="D458" s="37"/>
    </row>
    <row r="459" spans="2:4" ht="16" x14ac:dyDescent="0.2">
      <c r="B459" s="41" t="e">
        <f>IF(H459="credit",#REF!, (#REF!* -1))</f>
        <v>#REF!</v>
      </c>
      <c r="C459" s="497" t="e">
        <f t="shared" si="5"/>
        <v>#REF!</v>
      </c>
      <c r="D459" s="37"/>
    </row>
    <row r="460" spans="2:4" ht="16" x14ac:dyDescent="0.2">
      <c r="B460" s="41" t="e">
        <f>IF(H460="credit",#REF!, (#REF!* -1))</f>
        <v>#REF!</v>
      </c>
      <c r="C460" s="497" t="e">
        <f t="shared" si="5"/>
        <v>#REF!</v>
      </c>
    </row>
    <row r="461" spans="2:4" ht="16" x14ac:dyDescent="0.2">
      <c r="B461" s="41" t="e">
        <f>IF(H461="credit",#REF!, (#REF!* -1))</f>
        <v>#REF!</v>
      </c>
      <c r="C461" s="497" t="e">
        <f t="shared" si="5"/>
        <v>#REF!</v>
      </c>
    </row>
    <row r="462" spans="2:4" ht="16" x14ac:dyDescent="0.2">
      <c r="B462" s="41" t="e">
        <f>IF(H462="credit",#REF!, (#REF!* -1))</f>
        <v>#REF!</v>
      </c>
      <c r="C462" s="497" t="e">
        <f t="shared" si="5"/>
        <v>#REF!</v>
      </c>
    </row>
    <row r="463" spans="2:4" ht="16" x14ac:dyDescent="0.2">
      <c r="B463" s="41" t="e">
        <f>IF(H463="credit",#REF!, (#REF!* -1))</f>
        <v>#REF!</v>
      </c>
      <c r="C463" s="497" t="e">
        <f t="shared" si="5"/>
        <v>#REF!</v>
      </c>
    </row>
    <row r="464" spans="2:4" ht="16" x14ac:dyDescent="0.2">
      <c r="B464" s="41" t="e">
        <f>IF(H464="credit",#REF!, (#REF!* -1))</f>
        <v>#REF!</v>
      </c>
      <c r="C464" s="497" t="e">
        <f t="shared" si="5"/>
        <v>#REF!</v>
      </c>
    </row>
    <row r="465" spans="2:3" ht="16" x14ac:dyDescent="0.2">
      <c r="B465" s="41" t="e">
        <f>IF(H465="credit",#REF!, (#REF!* -1))</f>
        <v>#REF!</v>
      </c>
      <c r="C465" s="497" t="e">
        <f t="shared" si="5"/>
        <v>#REF!</v>
      </c>
    </row>
    <row r="466" spans="2:3" ht="16" x14ac:dyDescent="0.2">
      <c r="B466" s="41" t="e">
        <f>IF(H466="credit",#REF!, (#REF!* -1))</f>
        <v>#REF!</v>
      </c>
      <c r="C466" s="497" t="e">
        <f t="shared" si="5"/>
        <v>#REF!</v>
      </c>
    </row>
    <row r="467" spans="2:3" ht="16" x14ac:dyDescent="0.2">
      <c r="B467" s="41" t="e">
        <f>IF(H467="credit",#REF!, (#REF!* -1))</f>
        <v>#REF!</v>
      </c>
      <c r="C467" s="497" t="e">
        <f t="shared" si="5"/>
        <v>#REF!</v>
      </c>
    </row>
    <row r="468" spans="2:3" ht="16" x14ac:dyDescent="0.2">
      <c r="B468" s="41" t="e">
        <f>IF(H468="credit",#REF!, (#REF!* -1))</f>
        <v>#REF!</v>
      </c>
      <c r="C468" s="497" t="e">
        <f t="shared" si="5"/>
        <v>#REF!</v>
      </c>
    </row>
    <row r="469" spans="2:3" ht="16" x14ac:dyDescent="0.2">
      <c r="B469" s="41" t="e">
        <f>IF(H469="credit",#REF!, (#REF!* -1))</f>
        <v>#REF!</v>
      </c>
      <c r="C469" s="497" t="e">
        <f t="shared" si="5"/>
        <v>#REF!</v>
      </c>
    </row>
    <row r="470" spans="2:3" ht="16" x14ac:dyDescent="0.2">
      <c r="B470" s="41" t="e">
        <f>IF(H470="credit",#REF!, (#REF!* -1))</f>
        <v>#REF!</v>
      </c>
      <c r="C470" s="497" t="e">
        <f t="shared" si="5"/>
        <v>#REF!</v>
      </c>
    </row>
    <row r="471" spans="2:3" ht="16" x14ac:dyDescent="0.2">
      <c r="B471" s="41" t="e">
        <f>IF(H471="credit",#REF!, (#REF!* -1))</f>
        <v>#REF!</v>
      </c>
      <c r="C471" s="497" t="e">
        <f t="shared" si="5"/>
        <v>#REF!</v>
      </c>
    </row>
    <row r="472" spans="2:3" ht="16" x14ac:dyDescent="0.2">
      <c r="B472" s="41" t="e">
        <f>IF(H472="credit",#REF!, (#REF!* -1))</f>
        <v>#REF!</v>
      </c>
      <c r="C472" s="497" t="e">
        <f t="shared" si="5"/>
        <v>#REF!</v>
      </c>
    </row>
    <row r="473" spans="2:3" ht="16" x14ac:dyDescent="0.2">
      <c r="B473" s="41" t="e">
        <f>IF(H473="credit",#REF!, (#REF!* -1))</f>
        <v>#REF!</v>
      </c>
      <c r="C473" s="497" t="e">
        <f t="shared" si="5"/>
        <v>#REF!</v>
      </c>
    </row>
    <row r="474" spans="2:3" ht="16" x14ac:dyDescent="0.2">
      <c r="B474" s="41" t="e">
        <f>IF(H474="credit",#REF!, (#REF!* -1))</f>
        <v>#REF!</v>
      </c>
      <c r="C474" s="497" t="e">
        <f t="shared" si="5"/>
        <v>#REF!</v>
      </c>
    </row>
    <row r="475" spans="2:3" ht="16" x14ac:dyDescent="0.2">
      <c r="B475" s="41" t="e">
        <f>IF(H475="credit",#REF!, (#REF!* -1))</f>
        <v>#REF!</v>
      </c>
      <c r="C475" s="497" t="e">
        <f t="shared" si="5"/>
        <v>#REF!</v>
      </c>
    </row>
    <row r="476" spans="2:3" ht="16" x14ac:dyDescent="0.2">
      <c r="B476" s="41" t="e">
        <f>IF(H476="credit",#REF!, (#REF!* -1))</f>
        <v>#REF!</v>
      </c>
      <c r="C476" s="497" t="e">
        <f t="shared" si="5"/>
        <v>#REF!</v>
      </c>
    </row>
    <row r="477" spans="2:3" ht="16" x14ac:dyDescent="0.2">
      <c r="B477" s="41" t="e">
        <f>IF(H477="credit",#REF!, (#REF!* -1))</f>
        <v>#REF!</v>
      </c>
      <c r="C477" s="497" t="e">
        <f t="shared" si="5"/>
        <v>#REF!</v>
      </c>
    </row>
    <row r="478" spans="2:3" ht="16" x14ac:dyDescent="0.2">
      <c r="B478" s="41" t="e">
        <f>IF(H478="credit",#REF!, (#REF!* -1))</f>
        <v>#REF!</v>
      </c>
      <c r="C478" s="497" t="e">
        <f t="shared" si="5"/>
        <v>#REF!</v>
      </c>
    </row>
    <row r="479" spans="2:3" ht="16" x14ac:dyDescent="0.2">
      <c r="B479" s="41" t="e">
        <f>IF(H479="credit",#REF!, (#REF!* -1))</f>
        <v>#REF!</v>
      </c>
      <c r="C479" s="497" t="e">
        <f t="shared" si="5"/>
        <v>#REF!</v>
      </c>
    </row>
    <row r="480" spans="2:3" ht="16" x14ac:dyDescent="0.2">
      <c r="B480" s="41" t="e">
        <f>IF(H480="credit",#REF!, (#REF!* -1))</f>
        <v>#REF!</v>
      </c>
      <c r="C480" s="497" t="e">
        <f t="shared" si="5"/>
        <v>#REF!</v>
      </c>
    </row>
    <row r="481" spans="2:3" ht="16" x14ac:dyDescent="0.2">
      <c r="B481" s="41" t="e">
        <f>IF(H481="credit",#REF!, (#REF!* -1))</f>
        <v>#REF!</v>
      </c>
      <c r="C481" s="497" t="e">
        <f t="shared" si="5"/>
        <v>#REF!</v>
      </c>
    </row>
    <row r="482" spans="2:3" ht="16" x14ac:dyDescent="0.2">
      <c r="B482" s="41" t="e">
        <f>IF(H482="credit",#REF!, (#REF!* -1))</f>
        <v>#REF!</v>
      </c>
      <c r="C482" s="497" t="e">
        <f t="shared" si="5"/>
        <v>#REF!</v>
      </c>
    </row>
    <row r="483" spans="2:3" ht="16" x14ac:dyDescent="0.2">
      <c r="B483" s="41" t="e">
        <f>IF(H483="credit",#REF!, (#REF!* -1))</f>
        <v>#REF!</v>
      </c>
      <c r="C483" s="497" t="e">
        <f t="shared" si="5"/>
        <v>#REF!</v>
      </c>
    </row>
    <row r="484" spans="2:3" ht="16" x14ac:dyDescent="0.2">
      <c r="B484" s="41" t="e">
        <f>IF(H484="credit",#REF!, (#REF!* -1))</f>
        <v>#REF!</v>
      </c>
      <c r="C484" s="497" t="e">
        <f t="shared" si="5"/>
        <v>#REF!</v>
      </c>
    </row>
    <row r="485" spans="2:3" ht="16" x14ac:dyDescent="0.2">
      <c r="B485" s="41" t="e">
        <f>IF(H485="credit",#REF!, (#REF!* -1))</f>
        <v>#REF!</v>
      </c>
      <c r="C485" s="497" t="e">
        <f t="shared" si="5"/>
        <v>#REF!</v>
      </c>
    </row>
    <row r="486" spans="2:3" ht="16" x14ac:dyDescent="0.2">
      <c r="B486" s="41" t="e">
        <f>IF(H486="credit",#REF!, (#REF!* -1))</f>
        <v>#REF!</v>
      </c>
      <c r="C486" s="497" t="e">
        <f t="shared" si="5"/>
        <v>#REF!</v>
      </c>
    </row>
    <row r="487" spans="2:3" ht="16" x14ac:dyDescent="0.2">
      <c r="B487" s="41" t="e">
        <f>IF(H487="credit",#REF!, (#REF!* -1))</f>
        <v>#REF!</v>
      </c>
      <c r="C487" s="497" t="e">
        <f t="shared" si="5"/>
        <v>#REF!</v>
      </c>
    </row>
    <row r="488" spans="2:3" ht="16" x14ac:dyDescent="0.2">
      <c r="B488" s="41" t="e">
        <f>IF(H488="credit",#REF!, (#REF!* -1))</f>
        <v>#REF!</v>
      </c>
      <c r="C488" s="497" t="e">
        <f t="shared" si="5"/>
        <v>#REF!</v>
      </c>
    </row>
    <row r="489" spans="2:3" ht="16" x14ac:dyDescent="0.2">
      <c r="B489" s="41" t="e">
        <f>IF(H489="credit",#REF!, (#REF!* -1))</f>
        <v>#REF!</v>
      </c>
      <c r="C489" s="497" t="e">
        <f t="shared" si="5"/>
        <v>#REF!</v>
      </c>
    </row>
    <row r="490" spans="2:3" ht="16" x14ac:dyDescent="0.2">
      <c r="B490" s="41" t="e">
        <f>IF(H490="credit",#REF!, (#REF!* -1))</f>
        <v>#REF!</v>
      </c>
      <c r="C490" s="497" t="e">
        <f t="shared" si="5"/>
        <v>#REF!</v>
      </c>
    </row>
    <row r="491" spans="2:3" ht="16" x14ac:dyDescent="0.2">
      <c r="B491" s="41" t="e">
        <f>IF(H491="credit",#REF!, (#REF!* -1))</f>
        <v>#REF!</v>
      </c>
      <c r="C491" s="497" t="e">
        <f t="shared" si="5"/>
        <v>#REF!</v>
      </c>
    </row>
    <row r="492" spans="2:3" ht="16" x14ac:dyDescent="0.2">
      <c r="B492" s="41" t="e">
        <f>IF(H492="credit",#REF!, (#REF!* -1))</f>
        <v>#REF!</v>
      </c>
      <c r="C492" s="497" t="e">
        <f t="shared" si="5"/>
        <v>#REF!</v>
      </c>
    </row>
    <row r="493" spans="2:3" ht="16" x14ac:dyDescent="0.2">
      <c r="B493" s="41" t="e">
        <f>IF(H493="credit",#REF!, (#REF!* -1))</f>
        <v>#REF!</v>
      </c>
      <c r="C493" s="497" t="e">
        <f t="shared" si="5"/>
        <v>#REF!</v>
      </c>
    </row>
    <row r="494" spans="2:3" ht="16" x14ac:dyDescent="0.2">
      <c r="B494" s="41" t="e">
        <f>IF(H494="credit",#REF!, (#REF!* -1))</f>
        <v>#REF!</v>
      </c>
      <c r="C494" s="497" t="e">
        <f t="shared" si="5"/>
        <v>#REF!</v>
      </c>
    </row>
    <row r="495" spans="2:3" ht="16" x14ac:dyDescent="0.2">
      <c r="B495" s="41" t="e">
        <f>IF(H495="credit",#REF!, (#REF!* -1))</f>
        <v>#REF!</v>
      </c>
      <c r="C495" s="497" t="e">
        <f t="shared" si="5"/>
        <v>#REF!</v>
      </c>
    </row>
    <row r="496" spans="2:3" ht="16" x14ac:dyDescent="0.2">
      <c r="B496" s="41" t="e">
        <f>IF(H496="credit",#REF!, (#REF!* -1))</f>
        <v>#REF!</v>
      </c>
      <c r="C496" s="497" t="e">
        <f t="shared" si="5"/>
        <v>#REF!</v>
      </c>
    </row>
    <row r="497" spans="2:3" ht="16" x14ac:dyDescent="0.2">
      <c r="B497" s="41" t="e">
        <f>IF(H497="credit",#REF!, (#REF!* -1))</f>
        <v>#REF!</v>
      </c>
      <c r="C497" s="497" t="e">
        <f t="shared" si="5"/>
        <v>#REF!</v>
      </c>
    </row>
    <row r="498" spans="2:3" ht="16" x14ac:dyDescent="0.2">
      <c r="B498" s="41" t="e">
        <f>IF(H498="credit",#REF!, (#REF!* -1))</f>
        <v>#REF!</v>
      </c>
      <c r="C498" s="497" t="e">
        <f t="shared" si="5"/>
        <v>#REF!</v>
      </c>
    </row>
    <row r="499" spans="2:3" ht="16" x14ac:dyDescent="0.2">
      <c r="B499" s="41" t="e">
        <f>IF(H499="credit",#REF!, (#REF!* -1))</f>
        <v>#REF!</v>
      </c>
      <c r="C499" s="497" t="e">
        <f t="shared" si="5"/>
        <v>#REF!</v>
      </c>
    </row>
    <row r="500" spans="2:3" ht="16" x14ac:dyDescent="0.2">
      <c r="B500" s="41" t="e">
        <f>IF(H500="credit",#REF!, (#REF!* -1))</f>
        <v>#REF!</v>
      </c>
      <c r="C500" s="497" t="e">
        <f t="shared" si="5"/>
        <v>#REF!</v>
      </c>
    </row>
    <row r="501" spans="2:3" ht="16" x14ac:dyDescent="0.2">
      <c r="B501" s="41" t="e">
        <f>IF(H501="credit",#REF!, (#REF!* -1))</f>
        <v>#REF!</v>
      </c>
      <c r="C501" s="497" t="e">
        <f t="shared" si="5"/>
        <v>#REF!</v>
      </c>
    </row>
    <row r="502" spans="2:3" ht="16" x14ac:dyDescent="0.2">
      <c r="B502" s="41" t="e">
        <f>IF(H502="credit",#REF!, (#REF!* -1))</f>
        <v>#REF!</v>
      </c>
      <c r="C502" s="497" t="e">
        <f t="shared" si="5"/>
        <v>#REF!</v>
      </c>
    </row>
    <row r="503" spans="2:3" ht="16" x14ac:dyDescent="0.2">
      <c r="B503" s="41" t="e">
        <f>IF(H503="credit",#REF!, (#REF!* -1))</f>
        <v>#REF!</v>
      </c>
      <c r="C503" s="497" t="e">
        <f t="shared" si="5"/>
        <v>#REF!</v>
      </c>
    </row>
    <row r="504" spans="2:3" ht="16" x14ac:dyDescent="0.2">
      <c r="B504" s="41" t="e">
        <f>IF(H504="credit",#REF!, (#REF!* -1))</f>
        <v>#REF!</v>
      </c>
      <c r="C504" s="497" t="e">
        <f t="shared" si="5"/>
        <v>#REF!</v>
      </c>
    </row>
    <row r="505" spans="2:3" ht="16" x14ac:dyDescent="0.2">
      <c r="B505" s="41" t="e">
        <f>IF(H505="credit",#REF!, (#REF!* -1))</f>
        <v>#REF!</v>
      </c>
      <c r="C505" s="497" t="e">
        <f t="shared" si="5"/>
        <v>#REF!</v>
      </c>
    </row>
    <row r="506" spans="2:3" ht="16" x14ac:dyDescent="0.2">
      <c r="B506" s="41" t="e">
        <f>IF(H506="credit",#REF!, (#REF!* -1))</f>
        <v>#REF!</v>
      </c>
      <c r="C506" s="497" t="e">
        <f t="shared" si="5"/>
        <v>#REF!</v>
      </c>
    </row>
    <row r="507" spans="2:3" ht="16" x14ac:dyDescent="0.2">
      <c r="B507" s="41" t="e">
        <f>IF(H507="credit",#REF!, (#REF!* -1))</f>
        <v>#REF!</v>
      </c>
      <c r="C507" s="497" t="e">
        <f t="shared" si="5"/>
        <v>#REF!</v>
      </c>
    </row>
    <row r="508" spans="2:3" ht="16" x14ac:dyDescent="0.2">
      <c r="B508" s="41" t="e">
        <f>IF(H508="credit",#REF!, (#REF!* -1))</f>
        <v>#REF!</v>
      </c>
      <c r="C508" s="497" t="e">
        <f t="shared" si="5"/>
        <v>#REF!</v>
      </c>
    </row>
    <row r="509" spans="2:3" ht="16" x14ac:dyDescent="0.2">
      <c r="B509" s="41" t="e">
        <f>IF(H509="credit",#REF!, (#REF!* -1))</f>
        <v>#REF!</v>
      </c>
      <c r="C509" s="497" t="e">
        <f t="shared" si="5"/>
        <v>#REF!</v>
      </c>
    </row>
    <row r="510" spans="2:3" ht="16" x14ac:dyDescent="0.2">
      <c r="B510" s="41" t="e">
        <f>IF(H510="credit",#REF!, (#REF!* -1))</f>
        <v>#REF!</v>
      </c>
      <c r="C510" s="497" t="e">
        <f t="shared" si="5"/>
        <v>#REF!</v>
      </c>
    </row>
    <row r="511" spans="2:3" ht="16" x14ac:dyDescent="0.2">
      <c r="B511" s="41" t="e">
        <f>IF(H511="credit",#REF!, (#REF!* -1))</f>
        <v>#REF!</v>
      </c>
      <c r="C511" s="497" t="e">
        <f t="shared" si="5"/>
        <v>#REF!</v>
      </c>
    </row>
    <row r="512" spans="2:3" ht="16" x14ac:dyDescent="0.2">
      <c r="B512" s="41" t="e">
        <f>IF(H512="credit",#REF!, (#REF!* -1))</f>
        <v>#REF!</v>
      </c>
      <c r="C512" s="497" t="e">
        <f t="shared" si="5"/>
        <v>#REF!</v>
      </c>
    </row>
    <row r="513" spans="2:3" ht="16" x14ac:dyDescent="0.2">
      <c r="B513" s="41" t="e">
        <f>IF(H513="credit",#REF!, (#REF!* -1))</f>
        <v>#REF!</v>
      </c>
      <c r="C513" s="497" t="e">
        <f t="shared" si="5"/>
        <v>#REF!</v>
      </c>
    </row>
    <row r="514" spans="2:3" ht="16" x14ac:dyDescent="0.2">
      <c r="B514" s="41" t="e">
        <f>IF(H514="credit",#REF!, (#REF!* -1))</f>
        <v>#REF!</v>
      </c>
      <c r="C514" s="497" t="e">
        <f t="shared" si="5"/>
        <v>#REF!</v>
      </c>
    </row>
    <row r="515" spans="2:3" ht="16" x14ac:dyDescent="0.2">
      <c r="B515" s="41" t="e">
        <f>IF(H515="credit",#REF!, (#REF!* -1))</f>
        <v>#REF!</v>
      </c>
      <c r="C515" s="497" t="e">
        <f t="shared" si="5"/>
        <v>#REF!</v>
      </c>
    </row>
    <row r="516" spans="2:3" ht="16" x14ac:dyDescent="0.2">
      <c r="B516" s="41" t="e">
        <f>IF(H516="credit",#REF!, (#REF!* -1))</f>
        <v>#REF!</v>
      </c>
      <c r="C516" s="497" t="e">
        <f t="shared" ref="C516:C579" si="6">C515+B516</f>
        <v>#REF!</v>
      </c>
    </row>
    <row r="517" spans="2:3" ht="16" x14ac:dyDescent="0.2">
      <c r="B517" s="41" t="e">
        <f>IF(H517="credit",#REF!, (#REF!* -1))</f>
        <v>#REF!</v>
      </c>
      <c r="C517" s="497" t="e">
        <f t="shared" si="6"/>
        <v>#REF!</v>
      </c>
    </row>
    <row r="518" spans="2:3" ht="16" x14ac:dyDescent="0.2">
      <c r="B518" s="41" t="e">
        <f>IF(H518="credit",#REF!, (#REF!* -1))</f>
        <v>#REF!</v>
      </c>
      <c r="C518" s="497" t="e">
        <f t="shared" si="6"/>
        <v>#REF!</v>
      </c>
    </row>
    <row r="519" spans="2:3" ht="16" x14ac:dyDescent="0.2">
      <c r="B519" s="41" t="e">
        <f>IF(H519="credit",#REF!, (#REF!* -1))</f>
        <v>#REF!</v>
      </c>
      <c r="C519" s="497" t="e">
        <f t="shared" si="6"/>
        <v>#REF!</v>
      </c>
    </row>
    <row r="520" spans="2:3" ht="16" x14ac:dyDescent="0.2">
      <c r="B520" s="41" t="e">
        <f>IF(H520="credit",#REF!, (#REF!* -1))</f>
        <v>#REF!</v>
      </c>
      <c r="C520" s="497" t="e">
        <f t="shared" si="6"/>
        <v>#REF!</v>
      </c>
    </row>
    <row r="521" spans="2:3" ht="16" x14ac:dyDescent="0.2">
      <c r="B521" s="41" t="e">
        <f>IF(H521="credit",#REF!, (#REF!* -1))</f>
        <v>#REF!</v>
      </c>
      <c r="C521" s="497" t="e">
        <f t="shared" si="6"/>
        <v>#REF!</v>
      </c>
    </row>
    <row r="522" spans="2:3" ht="16" x14ac:dyDescent="0.2">
      <c r="B522" s="41" t="e">
        <f>IF(H522="credit",#REF!, (#REF!* -1))</f>
        <v>#REF!</v>
      </c>
      <c r="C522" s="497" t="e">
        <f t="shared" si="6"/>
        <v>#REF!</v>
      </c>
    </row>
    <row r="523" spans="2:3" ht="16" x14ac:dyDescent="0.2">
      <c r="B523" s="41" t="e">
        <f>IF(H523="credit",#REF!, (#REF!* -1))</f>
        <v>#REF!</v>
      </c>
      <c r="C523" s="497" t="e">
        <f t="shared" si="6"/>
        <v>#REF!</v>
      </c>
    </row>
    <row r="524" spans="2:3" ht="16" x14ac:dyDescent="0.2">
      <c r="B524" s="41" t="e">
        <f>IF(H524="credit",#REF!, (#REF!* -1))</f>
        <v>#REF!</v>
      </c>
      <c r="C524" s="497" t="e">
        <f t="shared" si="6"/>
        <v>#REF!</v>
      </c>
    </row>
    <row r="525" spans="2:3" ht="16" x14ac:dyDescent="0.2">
      <c r="B525" s="41" t="e">
        <f>IF(H525="credit",#REF!, (#REF!* -1))</f>
        <v>#REF!</v>
      </c>
      <c r="C525" s="497" t="e">
        <f t="shared" si="6"/>
        <v>#REF!</v>
      </c>
    </row>
    <row r="526" spans="2:3" ht="16" x14ac:dyDescent="0.2">
      <c r="B526" s="41" t="e">
        <f>IF(H526="credit",#REF!, (#REF!* -1))</f>
        <v>#REF!</v>
      </c>
      <c r="C526" s="497" t="e">
        <f t="shared" si="6"/>
        <v>#REF!</v>
      </c>
    </row>
    <row r="527" spans="2:3" ht="16" x14ac:dyDescent="0.2">
      <c r="B527" s="41" t="e">
        <f>IF(H527="credit",#REF!, (#REF!* -1))</f>
        <v>#REF!</v>
      </c>
      <c r="C527" s="497" t="e">
        <f t="shared" si="6"/>
        <v>#REF!</v>
      </c>
    </row>
    <row r="528" spans="2:3" ht="16" x14ac:dyDescent="0.2">
      <c r="B528" s="41" t="e">
        <f>IF(H528="credit",#REF!, (#REF!* -1))</f>
        <v>#REF!</v>
      </c>
      <c r="C528" s="497" t="e">
        <f t="shared" si="6"/>
        <v>#REF!</v>
      </c>
    </row>
    <row r="529" spans="2:3" ht="16" x14ac:dyDescent="0.2">
      <c r="B529" s="41" t="e">
        <f>IF(H529="credit",#REF!, (#REF!* -1))</f>
        <v>#REF!</v>
      </c>
      <c r="C529" s="497" t="e">
        <f t="shared" si="6"/>
        <v>#REF!</v>
      </c>
    </row>
    <row r="530" spans="2:3" ht="16" x14ac:dyDescent="0.2">
      <c r="B530" s="41" t="e">
        <f>IF(H530="credit",#REF!, (#REF!* -1))</f>
        <v>#REF!</v>
      </c>
      <c r="C530" s="497" t="e">
        <f t="shared" si="6"/>
        <v>#REF!</v>
      </c>
    </row>
    <row r="531" spans="2:3" ht="16" x14ac:dyDescent="0.2">
      <c r="B531" s="41" t="e">
        <f>IF(H531="credit",#REF!, (#REF!* -1))</f>
        <v>#REF!</v>
      </c>
      <c r="C531" s="497" t="e">
        <f t="shared" si="6"/>
        <v>#REF!</v>
      </c>
    </row>
    <row r="532" spans="2:3" ht="16" x14ac:dyDescent="0.2">
      <c r="B532" s="41" t="e">
        <f>IF(H532="credit",#REF!, (#REF!* -1))</f>
        <v>#REF!</v>
      </c>
      <c r="C532" s="497" t="e">
        <f t="shared" si="6"/>
        <v>#REF!</v>
      </c>
    </row>
    <row r="533" spans="2:3" ht="16" x14ac:dyDescent="0.2">
      <c r="B533" s="41" t="e">
        <f>IF(H533="credit",#REF!, (#REF!* -1))</f>
        <v>#REF!</v>
      </c>
      <c r="C533" s="497" t="e">
        <f t="shared" si="6"/>
        <v>#REF!</v>
      </c>
    </row>
    <row r="534" spans="2:3" ht="16" x14ac:dyDescent="0.2">
      <c r="B534" s="41" t="e">
        <f>IF(H534="credit",#REF!, (#REF!* -1))</f>
        <v>#REF!</v>
      </c>
      <c r="C534" s="497" t="e">
        <f t="shared" si="6"/>
        <v>#REF!</v>
      </c>
    </row>
    <row r="535" spans="2:3" ht="16" x14ac:dyDescent="0.2">
      <c r="B535" s="41" t="e">
        <f>IF(H535="credit",#REF!, (#REF!* -1))</f>
        <v>#REF!</v>
      </c>
      <c r="C535" s="497" t="e">
        <f t="shared" si="6"/>
        <v>#REF!</v>
      </c>
    </row>
    <row r="536" spans="2:3" ht="16" x14ac:dyDescent="0.2">
      <c r="B536" s="41" t="e">
        <f>IF(H536="credit",#REF!, (#REF!* -1))</f>
        <v>#REF!</v>
      </c>
      <c r="C536" s="497" t="e">
        <f t="shared" si="6"/>
        <v>#REF!</v>
      </c>
    </row>
    <row r="537" spans="2:3" ht="16" x14ac:dyDescent="0.2">
      <c r="B537" s="41" t="e">
        <f>IF(H537="credit",#REF!, (#REF!* -1))</f>
        <v>#REF!</v>
      </c>
      <c r="C537" s="497" t="e">
        <f t="shared" si="6"/>
        <v>#REF!</v>
      </c>
    </row>
    <row r="538" spans="2:3" ht="16" x14ac:dyDescent="0.2">
      <c r="B538" s="41" t="e">
        <f>IF(H538="credit",#REF!, (#REF!* -1))</f>
        <v>#REF!</v>
      </c>
      <c r="C538" s="497" t="e">
        <f t="shared" si="6"/>
        <v>#REF!</v>
      </c>
    </row>
    <row r="539" spans="2:3" ht="16" x14ac:dyDescent="0.2">
      <c r="B539" s="41" t="e">
        <f>IF(H539="credit",#REF!, (#REF!* -1))</f>
        <v>#REF!</v>
      </c>
      <c r="C539" s="497" t="e">
        <f t="shared" si="6"/>
        <v>#REF!</v>
      </c>
    </row>
    <row r="540" spans="2:3" ht="16" x14ac:dyDescent="0.2">
      <c r="B540" s="41" t="e">
        <f>IF(H540="credit",#REF!, (#REF!* -1))</f>
        <v>#REF!</v>
      </c>
      <c r="C540" s="497" t="e">
        <f t="shared" si="6"/>
        <v>#REF!</v>
      </c>
    </row>
    <row r="541" spans="2:3" ht="16" x14ac:dyDescent="0.2">
      <c r="B541" s="41" t="e">
        <f>IF(H541="credit",#REF!, (#REF!* -1))</f>
        <v>#REF!</v>
      </c>
      <c r="C541" s="497" t="e">
        <f t="shared" si="6"/>
        <v>#REF!</v>
      </c>
    </row>
    <row r="542" spans="2:3" ht="16" x14ac:dyDescent="0.2">
      <c r="B542" s="41" t="e">
        <f>IF(H542="credit",#REF!, (#REF!* -1))</f>
        <v>#REF!</v>
      </c>
      <c r="C542" s="497" t="e">
        <f t="shared" si="6"/>
        <v>#REF!</v>
      </c>
    </row>
    <row r="543" spans="2:3" ht="16" x14ac:dyDescent="0.2">
      <c r="B543" s="41" t="e">
        <f>IF(H543="credit",#REF!, (#REF!* -1))</f>
        <v>#REF!</v>
      </c>
      <c r="C543" s="497" t="e">
        <f t="shared" si="6"/>
        <v>#REF!</v>
      </c>
    </row>
    <row r="544" spans="2:3" ht="16" x14ac:dyDescent="0.2">
      <c r="B544" s="41" t="e">
        <f>IF(H544="credit",#REF!, (#REF!* -1))</f>
        <v>#REF!</v>
      </c>
      <c r="C544" s="497" t="e">
        <f t="shared" si="6"/>
        <v>#REF!</v>
      </c>
    </row>
    <row r="545" spans="2:3" ht="16" x14ac:dyDescent="0.2">
      <c r="B545" s="41" t="e">
        <f>IF(H545="credit",#REF!, (#REF!* -1))</f>
        <v>#REF!</v>
      </c>
      <c r="C545" s="497" t="e">
        <f t="shared" si="6"/>
        <v>#REF!</v>
      </c>
    </row>
    <row r="546" spans="2:3" ht="16" x14ac:dyDescent="0.2">
      <c r="B546" s="41" t="e">
        <f>IF(H546="credit",#REF!, (#REF!* -1))</f>
        <v>#REF!</v>
      </c>
      <c r="C546" s="497" t="e">
        <f t="shared" si="6"/>
        <v>#REF!</v>
      </c>
    </row>
    <row r="547" spans="2:3" ht="16" x14ac:dyDescent="0.2">
      <c r="B547" s="41" t="e">
        <f>IF(H547="credit",#REF!, (#REF!* -1))</f>
        <v>#REF!</v>
      </c>
      <c r="C547" s="497" t="e">
        <f t="shared" si="6"/>
        <v>#REF!</v>
      </c>
    </row>
    <row r="548" spans="2:3" ht="16" x14ac:dyDescent="0.2">
      <c r="B548" s="41" t="e">
        <f>IF(H548="credit",#REF!, (#REF!* -1))</f>
        <v>#REF!</v>
      </c>
      <c r="C548" s="497" t="e">
        <f t="shared" si="6"/>
        <v>#REF!</v>
      </c>
    </row>
    <row r="549" spans="2:3" ht="16" x14ac:dyDescent="0.2">
      <c r="B549" s="41" t="e">
        <f>IF(H549="credit",#REF!, (#REF!* -1))</f>
        <v>#REF!</v>
      </c>
      <c r="C549" s="497" t="e">
        <f t="shared" si="6"/>
        <v>#REF!</v>
      </c>
    </row>
    <row r="550" spans="2:3" ht="16" x14ac:dyDescent="0.2">
      <c r="B550" s="41" t="e">
        <f>IF(H550="credit",#REF!, (#REF!* -1))</f>
        <v>#REF!</v>
      </c>
      <c r="C550" s="497" t="e">
        <f t="shared" si="6"/>
        <v>#REF!</v>
      </c>
    </row>
    <row r="551" spans="2:3" ht="16" x14ac:dyDescent="0.2">
      <c r="B551" s="41" t="e">
        <f>IF(H551="credit",#REF!, (#REF!* -1))</f>
        <v>#REF!</v>
      </c>
      <c r="C551" s="497" t="e">
        <f t="shared" si="6"/>
        <v>#REF!</v>
      </c>
    </row>
    <row r="552" spans="2:3" ht="16" x14ac:dyDescent="0.2">
      <c r="B552" s="41" t="e">
        <f>IF(H552="credit",#REF!, (#REF!* -1))</f>
        <v>#REF!</v>
      </c>
      <c r="C552" s="497" t="e">
        <f t="shared" si="6"/>
        <v>#REF!</v>
      </c>
    </row>
    <row r="553" spans="2:3" ht="16" x14ac:dyDescent="0.2">
      <c r="B553" s="41" t="e">
        <f>IF(H553="credit",#REF!, (#REF!* -1))</f>
        <v>#REF!</v>
      </c>
      <c r="C553" s="497" t="e">
        <f t="shared" si="6"/>
        <v>#REF!</v>
      </c>
    </row>
    <row r="554" spans="2:3" ht="16" x14ac:dyDescent="0.2">
      <c r="B554" s="41" t="e">
        <f>IF(H554="credit",#REF!, (#REF!* -1))</f>
        <v>#REF!</v>
      </c>
      <c r="C554" s="497" t="e">
        <f t="shared" si="6"/>
        <v>#REF!</v>
      </c>
    </row>
    <row r="555" spans="2:3" ht="16" x14ac:dyDescent="0.2">
      <c r="B555" s="41" t="e">
        <f>IF(H555="credit",#REF!, (#REF!* -1))</f>
        <v>#REF!</v>
      </c>
      <c r="C555" s="497" t="e">
        <f t="shared" si="6"/>
        <v>#REF!</v>
      </c>
    </row>
    <row r="556" spans="2:3" ht="16" x14ac:dyDescent="0.2">
      <c r="B556" s="41" t="e">
        <f>IF(H556="credit",#REF!, (#REF!* -1))</f>
        <v>#REF!</v>
      </c>
      <c r="C556" s="497" t="e">
        <f t="shared" si="6"/>
        <v>#REF!</v>
      </c>
    </row>
    <row r="557" spans="2:3" ht="16" x14ac:dyDescent="0.2">
      <c r="B557" s="41" t="e">
        <f>IF(H557="credit",#REF!, (#REF!* -1))</f>
        <v>#REF!</v>
      </c>
      <c r="C557" s="497" t="e">
        <f t="shared" si="6"/>
        <v>#REF!</v>
      </c>
    </row>
    <row r="558" spans="2:3" ht="16" x14ac:dyDescent="0.2">
      <c r="B558" s="41" t="e">
        <f>IF(H558="credit",#REF!, (#REF!* -1))</f>
        <v>#REF!</v>
      </c>
      <c r="C558" s="497" t="e">
        <f t="shared" si="6"/>
        <v>#REF!</v>
      </c>
    </row>
    <row r="559" spans="2:3" ht="16" x14ac:dyDescent="0.2">
      <c r="B559" s="41" t="e">
        <f>IF(H559="credit",#REF!, (#REF!* -1))</f>
        <v>#REF!</v>
      </c>
      <c r="C559" s="497" t="e">
        <f t="shared" si="6"/>
        <v>#REF!</v>
      </c>
    </row>
    <row r="560" spans="2:3" ht="16" x14ac:dyDescent="0.2">
      <c r="B560" s="41" t="e">
        <f>IF(H560="credit",#REF!, (#REF!* -1))</f>
        <v>#REF!</v>
      </c>
      <c r="C560" s="497" t="e">
        <f t="shared" si="6"/>
        <v>#REF!</v>
      </c>
    </row>
    <row r="561" spans="2:3" ht="16" x14ac:dyDescent="0.2">
      <c r="B561" s="41" t="e">
        <f>IF(H561="credit",#REF!, (#REF!* -1))</f>
        <v>#REF!</v>
      </c>
      <c r="C561" s="497" t="e">
        <f t="shared" si="6"/>
        <v>#REF!</v>
      </c>
    </row>
    <row r="562" spans="2:3" ht="16" x14ac:dyDescent="0.2">
      <c r="B562" s="41" t="e">
        <f>IF(H562="credit",#REF!, (#REF!* -1))</f>
        <v>#REF!</v>
      </c>
      <c r="C562" s="497" t="e">
        <f t="shared" si="6"/>
        <v>#REF!</v>
      </c>
    </row>
    <row r="563" spans="2:3" ht="16" x14ac:dyDescent="0.2">
      <c r="B563" s="41" t="e">
        <f>IF(H563="credit",#REF!, (#REF!* -1))</f>
        <v>#REF!</v>
      </c>
      <c r="C563" s="497" t="e">
        <f t="shared" si="6"/>
        <v>#REF!</v>
      </c>
    </row>
    <row r="564" spans="2:3" ht="16" x14ac:dyDescent="0.2">
      <c r="B564" s="41" t="e">
        <f>IF(H564="credit",#REF!, (#REF!* -1))</f>
        <v>#REF!</v>
      </c>
      <c r="C564" s="497" t="e">
        <f t="shared" si="6"/>
        <v>#REF!</v>
      </c>
    </row>
    <row r="565" spans="2:3" ht="16" x14ac:dyDescent="0.2">
      <c r="B565" s="41" t="e">
        <f>IF(H565="credit",#REF!, (#REF!* -1))</f>
        <v>#REF!</v>
      </c>
      <c r="C565" s="497" t="e">
        <f t="shared" si="6"/>
        <v>#REF!</v>
      </c>
    </row>
    <row r="566" spans="2:3" ht="16" x14ac:dyDescent="0.2">
      <c r="B566" s="41" t="e">
        <f>IF(H566="credit",#REF!, (#REF!* -1))</f>
        <v>#REF!</v>
      </c>
      <c r="C566" s="497" t="e">
        <f t="shared" si="6"/>
        <v>#REF!</v>
      </c>
    </row>
    <row r="567" spans="2:3" ht="16" x14ac:dyDescent="0.2">
      <c r="B567" s="41" t="e">
        <f>IF(H567="credit",#REF!, (#REF!* -1))</f>
        <v>#REF!</v>
      </c>
      <c r="C567" s="497" t="e">
        <f t="shared" si="6"/>
        <v>#REF!</v>
      </c>
    </row>
    <row r="568" spans="2:3" ht="16" x14ac:dyDescent="0.2">
      <c r="B568" s="41" t="e">
        <f>IF(H568="credit",#REF!, (#REF!* -1))</f>
        <v>#REF!</v>
      </c>
      <c r="C568" s="497" t="e">
        <f t="shared" si="6"/>
        <v>#REF!</v>
      </c>
    </row>
    <row r="569" spans="2:3" ht="16" x14ac:dyDescent="0.2">
      <c r="B569" s="41" t="e">
        <f>IF(H569="credit",#REF!, (#REF!* -1))</f>
        <v>#REF!</v>
      </c>
      <c r="C569" s="497" t="e">
        <f t="shared" si="6"/>
        <v>#REF!</v>
      </c>
    </row>
    <row r="570" spans="2:3" ht="16" x14ac:dyDescent="0.2">
      <c r="B570" s="41" t="e">
        <f>IF(H570="credit",#REF!, (#REF!* -1))</f>
        <v>#REF!</v>
      </c>
      <c r="C570" s="497" t="e">
        <f t="shared" si="6"/>
        <v>#REF!</v>
      </c>
    </row>
    <row r="571" spans="2:3" ht="16" x14ac:dyDescent="0.2">
      <c r="B571" s="41" t="e">
        <f>IF(H571="credit",#REF!, (#REF!* -1))</f>
        <v>#REF!</v>
      </c>
      <c r="C571" s="497" t="e">
        <f t="shared" si="6"/>
        <v>#REF!</v>
      </c>
    </row>
    <row r="572" spans="2:3" ht="16" x14ac:dyDescent="0.2">
      <c r="B572" s="41" t="e">
        <f>IF(H572="credit",#REF!, (#REF!* -1))</f>
        <v>#REF!</v>
      </c>
      <c r="C572" s="497" t="e">
        <f t="shared" si="6"/>
        <v>#REF!</v>
      </c>
    </row>
    <row r="573" spans="2:3" ht="16" x14ac:dyDescent="0.2">
      <c r="B573" s="41" t="e">
        <f>IF(H573="credit",#REF!, (#REF!* -1))</f>
        <v>#REF!</v>
      </c>
      <c r="C573" s="497" t="e">
        <f t="shared" si="6"/>
        <v>#REF!</v>
      </c>
    </row>
    <row r="574" spans="2:3" ht="16" x14ac:dyDescent="0.2">
      <c r="B574" s="41" t="e">
        <f>IF(H574="credit",#REF!, (#REF!* -1))</f>
        <v>#REF!</v>
      </c>
      <c r="C574" s="497" t="e">
        <f t="shared" si="6"/>
        <v>#REF!</v>
      </c>
    </row>
    <row r="575" spans="2:3" ht="16" x14ac:dyDescent="0.2">
      <c r="B575" s="41" t="e">
        <f>IF(H575="credit",#REF!, (#REF!* -1))</f>
        <v>#REF!</v>
      </c>
      <c r="C575" s="497" t="e">
        <f t="shared" si="6"/>
        <v>#REF!</v>
      </c>
    </row>
    <row r="576" spans="2:3" ht="16" x14ac:dyDescent="0.2">
      <c r="B576" s="41" t="e">
        <f>IF(H576="credit",#REF!, (#REF!* -1))</f>
        <v>#REF!</v>
      </c>
      <c r="C576" s="497" t="e">
        <f t="shared" si="6"/>
        <v>#REF!</v>
      </c>
    </row>
    <row r="577" spans="2:3" ht="16" x14ac:dyDescent="0.2">
      <c r="B577" s="41" t="e">
        <f>IF(H577="credit",#REF!, (#REF!* -1))</f>
        <v>#REF!</v>
      </c>
      <c r="C577" s="497" t="e">
        <f t="shared" si="6"/>
        <v>#REF!</v>
      </c>
    </row>
    <row r="578" spans="2:3" ht="16" x14ac:dyDescent="0.2">
      <c r="B578" s="41" t="e">
        <f>IF(H578="credit",#REF!, (#REF!* -1))</f>
        <v>#REF!</v>
      </c>
      <c r="C578" s="497" t="e">
        <f t="shared" si="6"/>
        <v>#REF!</v>
      </c>
    </row>
    <row r="579" spans="2:3" ht="16" x14ac:dyDescent="0.2">
      <c r="B579" s="41" t="e">
        <f>IF(H579="credit",#REF!, (#REF!* -1))</f>
        <v>#REF!</v>
      </c>
      <c r="C579" s="497" t="e">
        <f t="shared" si="6"/>
        <v>#REF!</v>
      </c>
    </row>
    <row r="580" spans="2:3" ht="16" x14ac:dyDescent="0.2">
      <c r="B580" s="41" t="e">
        <f>IF(H580="credit",#REF!, (#REF!* -1))</f>
        <v>#REF!</v>
      </c>
      <c r="C580" s="497" t="e">
        <f t="shared" ref="C580:C643" si="7">C579+B580</f>
        <v>#REF!</v>
      </c>
    </row>
    <row r="581" spans="2:3" ht="16" x14ac:dyDescent="0.2">
      <c r="B581" s="41" t="e">
        <f>IF(H581="credit",#REF!, (#REF!* -1))</f>
        <v>#REF!</v>
      </c>
      <c r="C581" s="497" t="e">
        <f t="shared" si="7"/>
        <v>#REF!</v>
      </c>
    </row>
    <row r="582" spans="2:3" ht="16" x14ac:dyDescent="0.2">
      <c r="B582" s="41" t="e">
        <f>IF(H582="credit",#REF!, (#REF!* -1))</f>
        <v>#REF!</v>
      </c>
      <c r="C582" s="497" t="e">
        <f t="shared" si="7"/>
        <v>#REF!</v>
      </c>
    </row>
    <row r="583" spans="2:3" ht="16" x14ac:dyDescent="0.2">
      <c r="B583" s="41" t="e">
        <f>IF(H583="credit",#REF!, (#REF!* -1))</f>
        <v>#REF!</v>
      </c>
      <c r="C583" s="497" t="e">
        <f t="shared" si="7"/>
        <v>#REF!</v>
      </c>
    </row>
    <row r="584" spans="2:3" ht="16" x14ac:dyDescent="0.2">
      <c r="B584" s="41" t="e">
        <f>IF(H584="credit",#REF!, (#REF!* -1))</f>
        <v>#REF!</v>
      </c>
      <c r="C584" s="497" t="e">
        <f t="shared" si="7"/>
        <v>#REF!</v>
      </c>
    </row>
    <row r="585" spans="2:3" ht="16" x14ac:dyDescent="0.2">
      <c r="B585" s="41" t="e">
        <f>IF(H585="credit",#REF!, (#REF!* -1))</f>
        <v>#REF!</v>
      </c>
      <c r="C585" s="497" t="e">
        <f t="shared" si="7"/>
        <v>#REF!</v>
      </c>
    </row>
    <row r="586" spans="2:3" ht="16" x14ac:dyDescent="0.2">
      <c r="B586" s="41" t="e">
        <f>IF(H586="credit",#REF!, (#REF!* -1))</f>
        <v>#REF!</v>
      </c>
      <c r="C586" s="497" t="e">
        <f t="shared" si="7"/>
        <v>#REF!</v>
      </c>
    </row>
    <row r="587" spans="2:3" ht="16" x14ac:dyDescent="0.2">
      <c r="B587" s="41" t="e">
        <f>IF(H587="credit",#REF!, (#REF!* -1))</f>
        <v>#REF!</v>
      </c>
      <c r="C587" s="497" t="e">
        <f t="shared" si="7"/>
        <v>#REF!</v>
      </c>
    </row>
    <row r="588" spans="2:3" ht="16" x14ac:dyDescent="0.2">
      <c r="B588" s="41" t="e">
        <f>IF(H588="credit",#REF!, (#REF!* -1))</f>
        <v>#REF!</v>
      </c>
      <c r="C588" s="497" t="e">
        <f t="shared" si="7"/>
        <v>#REF!</v>
      </c>
    </row>
    <row r="589" spans="2:3" ht="16" x14ac:dyDescent="0.2">
      <c r="B589" s="41" t="e">
        <f>IF(H589="credit",#REF!, (#REF!* -1))</f>
        <v>#REF!</v>
      </c>
      <c r="C589" s="497" t="e">
        <f t="shared" si="7"/>
        <v>#REF!</v>
      </c>
    </row>
    <row r="590" spans="2:3" ht="16" x14ac:dyDescent="0.2">
      <c r="B590" s="41" t="e">
        <f>IF(H590="credit",#REF!, (#REF!* -1))</f>
        <v>#REF!</v>
      </c>
      <c r="C590" s="497" t="e">
        <f t="shared" si="7"/>
        <v>#REF!</v>
      </c>
    </row>
    <row r="591" spans="2:3" ht="16" x14ac:dyDescent="0.2">
      <c r="B591" s="41" t="e">
        <f>IF(H591="credit",#REF!, (#REF!* -1))</f>
        <v>#REF!</v>
      </c>
      <c r="C591" s="497" t="e">
        <f t="shared" si="7"/>
        <v>#REF!</v>
      </c>
    </row>
    <row r="592" spans="2:3" ht="16" x14ac:dyDescent="0.2">
      <c r="B592" s="41" t="e">
        <f>IF(H592="credit",#REF!, (#REF!* -1))</f>
        <v>#REF!</v>
      </c>
      <c r="C592" s="497" t="e">
        <f t="shared" si="7"/>
        <v>#REF!</v>
      </c>
    </row>
    <row r="593" spans="2:3" ht="16" x14ac:dyDescent="0.2">
      <c r="B593" s="41" t="e">
        <f>IF(H593="credit",#REF!, (#REF!* -1))</f>
        <v>#REF!</v>
      </c>
      <c r="C593" s="497" t="e">
        <f t="shared" si="7"/>
        <v>#REF!</v>
      </c>
    </row>
    <row r="594" spans="2:3" ht="16" x14ac:dyDescent="0.2">
      <c r="B594" s="41" t="e">
        <f>IF(H594="credit",#REF!, (#REF!* -1))</f>
        <v>#REF!</v>
      </c>
      <c r="C594" s="497" t="e">
        <f t="shared" si="7"/>
        <v>#REF!</v>
      </c>
    </row>
    <row r="595" spans="2:3" ht="16" x14ac:dyDescent="0.2">
      <c r="B595" s="41" t="e">
        <f>IF(H595="credit",#REF!, (#REF!* -1))</f>
        <v>#REF!</v>
      </c>
      <c r="C595" s="497" t="e">
        <f t="shared" si="7"/>
        <v>#REF!</v>
      </c>
    </row>
    <row r="596" spans="2:3" ht="16" x14ac:dyDescent="0.2">
      <c r="B596" s="41" t="e">
        <f>IF(H596="credit",#REF!, (#REF!* -1))</f>
        <v>#REF!</v>
      </c>
      <c r="C596" s="497" t="e">
        <f t="shared" si="7"/>
        <v>#REF!</v>
      </c>
    </row>
    <row r="597" spans="2:3" ht="16" x14ac:dyDescent="0.2">
      <c r="B597" s="41" t="e">
        <f>IF(H597="credit",#REF!, (#REF!* -1))</f>
        <v>#REF!</v>
      </c>
      <c r="C597" s="497" t="e">
        <f t="shared" si="7"/>
        <v>#REF!</v>
      </c>
    </row>
    <row r="598" spans="2:3" ht="16" x14ac:dyDescent="0.2">
      <c r="B598" s="41" t="e">
        <f>IF(H598="credit",#REF!, (#REF!* -1))</f>
        <v>#REF!</v>
      </c>
      <c r="C598" s="497" t="e">
        <f t="shared" si="7"/>
        <v>#REF!</v>
      </c>
    </row>
    <row r="599" spans="2:3" ht="16" x14ac:dyDescent="0.2">
      <c r="B599" s="41" t="e">
        <f>IF(H599="credit",#REF!, (#REF!* -1))</f>
        <v>#REF!</v>
      </c>
      <c r="C599" s="497" t="e">
        <f t="shared" si="7"/>
        <v>#REF!</v>
      </c>
    </row>
    <row r="600" spans="2:3" ht="16" x14ac:dyDescent="0.2">
      <c r="B600" s="41" t="e">
        <f>IF(H600="credit",#REF!, (#REF!* -1))</f>
        <v>#REF!</v>
      </c>
      <c r="C600" s="497" t="e">
        <f t="shared" si="7"/>
        <v>#REF!</v>
      </c>
    </row>
    <row r="601" spans="2:3" ht="16" x14ac:dyDescent="0.2">
      <c r="B601" s="41" t="e">
        <f>IF(H601="credit",#REF!, (#REF!* -1))</f>
        <v>#REF!</v>
      </c>
      <c r="C601" s="497" t="e">
        <f t="shared" si="7"/>
        <v>#REF!</v>
      </c>
    </row>
    <row r="602" spans="2:3" ht="16" x14ac:dyDescent="0.2">
      <c r="B602" s="41" t="e">
        <f>IF(H602="credit",#REF!, (#REF!* -1))</f>
        <v>#REF!</v>
      </c>
      <c r="C602" s="497" t="e">
        <f t="shared" si="7"/>
        <v>#REF!</v>
      </c>
    </row>
    <row r="603" spans="2:3" ht="16" x14ac:dyDescent="0.2">
      <c r="B603" s="41" t="e">
        <f>IF(H603="credit",#REF!, (#REF!* -1))</f>
        <v>#REF!</v>
      </c>
      <c r="C603" s="497" t="e">
        <f t="shared" si="7"/>
        <v>#REF!</v>
      </c>
    </row>
    <row r="604" spans="2:3" ht="16" x14ac:dyDescent="0.2">
      <c r="B604" s="41" t="e">
        <f>IF(H604="credit",#REF!, (#REF!* -1))</f>
        <v>#REF!</v>
      </c>
      <c r="C604" s="497" t="e">
        <f t="shared" si="7"/>
        <v>#REF!</v>
      </c>
    </row>
    <row r="605" spans="2:3" ht="16" x14ac:dyDescent="0.2">
      <c r="B605" s="41" t="e">
        <f>IF(H605="credit",#REF!, (#REF!* -1))</f>
        <v>#REF!</v>
      </c>
      <c r="C605" s="497" t="e">
        <f t="shared" si="7"/>
        <v>#REF!</v>
      </c>
    </row>
    <row r="606" spans="2:3" ht="16" x14ac:dyDescent="0.2">
      <c r="B606" s="41" t="e">
        <f>IF(H606="credit",#REF!, (#REF!* -1))</f>
        <v>#REF!</v>
      </c>
      <c r="C606" s="497" t="e">
        <f t="shared" si="7"/>
        <v>#REF!</v>
      </c>
    </row>
    <row r="607" spans="2:3" ht="16" x14ac:dyDescent="0.2">
      <c r="B607" s="41" t="e">
        <f>IF(H607="credit",#REF!, (#REF!* -1))</f>
        <v>#REF!</v>
      </c>
      <c r="C607" s="497" t="e">
        <f t="shared" si="7"/>
        <v>#REF!</v>
      </c>
    </row>
    <row r="608" spans="2:3" ht="16" x14ac:dyDescent="0.2">
      <c r="B608" s="41" t="e">
        <f>IF(H608="credit",#REF!, (#REF!* -1))</f>
        <v>#REF!</v>
      </c>
      <c r="C608" s="497" t="e">
        <f t="shared" si="7"/>
        <v>#REF!</v>
      </c>
    </row>
    <row r="609" spans="2:3" ht="16" x14ac:dyDescent="0.2">
      <c r="B609" s="41" t="e">
        <f>IF(H609="credit",#REF!, (#REF!* -1))</f>
        <v>#REF!</v>
      </c>
      <c r="C609" s="497" t="e">
        <f t="shared" si="7"/>
        <v>#REF!</v>
      </c>
    </row>
    <row r="610" spans="2:3" ht="16" x14ac:dyDescent="0.2">
      <c r="B610" s="41" t="e">
        <f>IF(H610="credit",#REF!, (#REF!* -1))</f>
        <v>#REF!</v>
      </c>
      <c r="C610" s="497" t="e">
        <f t="shared" si="7"/>
        <v>#REF!</v>
      </c>
    </row>
    <row r="611" spans="2:3" ht="16" x14ac:dyDescent="0.2">
      <c r="B611" s="41" t="e">
        <f>IF(H611="credit",#REF!, (#REF!* -1))</f>
        <v>#REF!</v>
      </c>
      <c r="C611" s="497" t="e">
        <f t="shared" si="7"/>
        <v>#REF!</v>
      </c>
    </row>
    <row r="612" spans="2:3" ht="16" x14ac:dyDescent="0.2">
      <c r="B612" s="41" t="e">
        <f>IF(H612="credit",#REF!, (#REF!* -1))</f>
        <v>#REF!</v>
      </c>
      <c r="C612" s="497" t="e">
        <f t="shared" si="7"/>
        <v>#REF!</v>
      </c>
    </row>
    <row r="613" spans="2:3" ht="16" x14ac:dyDescent="0.2">
      <c r="B613" s="41" t="e">
        <f>IF(H613="credit",#REF!, (#REF!* -1))</f>
        <v>#REF!</v>
      </c>
      <c r="C613" s="497" t="e">
        <f t="shared" si="7"/>
        <v>#REF!</v>
      </c>
    </row>
    <row r="614" spans="2:3" ht="16" x14ac:dyDescent="0.2">
      <c r="B614" s="41" t="e">
        <f>IF(H614="credit",#REF!, (#REF!* -1))</f>
        <v>#REF!</v>
      </c>
      <c r="C614" s="497" t="e">
        <f t="shared" si="7"/>
        <v>#REF!</v>
      </c>
    </row>
    <row r="615" spans="2:3" ht="16" x14ac:dyDescent="0.2">
      <c r="B615" s="41" t="e">
        <f>IF(H615="credit",#REF!, (#REF!* -1))</f>
        <v>#REF!</v>
      </c>
      <c r="C615" s="497" t="e">
        <f t="shared" si="7"/>
        <v>#REF!</v>
      </c>
    </row>
    <row r="616" spans="2:3" ht="16" x14ac:dyDescent="0.2">
      <c r="B616" s="41" t="e">
        <f>IF(H616="credit",#REF!, (#REF!* -1))</f>
        <v>#REF!</v>
      </c>
      <c r="C616" s="497" t="e">
        <f t="shared" si="7"/>
        <v>#REF!</v>
      </c>
    </row>
    <row r="617" spans="2:3" ht="16" x14ac:dyDescent="0.2">
      <c r="B617" s="41" t="e">
        <f>IF(H617="credit",#REF!, (#REF!* -1))</f>
        <v>#REF!</v>
      </c>
      <c r="C617" s="497" t="e">
        <f t="shared" si="7"/>
        <v>#REF!</v>
      </c>
    </row>
    <row r="618" spans="2:3" ht="16" x14ac:dyDescent="0.2">
      <c r="B618" s="41" t="e">
        <f>IF(H618="credit",#REF!, (#REF!* -1))</f>
        <v>#REF!</v>
      </c>
      <c r="C618" s="497" t="e">
        <f t="shared" si="7"/>
        <v>#REF!</v>
      </c>
    </row>
    <row r="619" spans="2:3" ht="16" x14ac:dyDescent="0.2">
      <c r="B619" s="41" t="e">
        <f>IF(H619="credit",#REF!, (#REF!* -1))</f>
        <v>#REF!</v>
      </c>
      <c r="C619" s="497" t="e">
        <f t="shared" si="7"/>
        <v>#REF!</v>
      </c>
    </row>
    <row r="620" spans="2:3" ht="16" x14ac:dyDescent="0.2">
      <c r="B620" s="41" t="e">
        <f>IF(H620="credit",#REF!, (#REF!* -1))</f>
        <v>#REF!</v>
      </c>
      <c r="C620" s="497" t="e">
        <f t="shared" si="7"/>
        <v>#REF!</v>
      </c>
    </row>
    <row r="621" spans="2:3" ht="16" x14ac:dyDescent="0.2">
      <c r="B621" s="41" t="e">
        <f>IF(H621="credit",#REF!, (#REF!* -1))</f>
        <v>#REF!</v>
      </c>
      <c r="C621" s="497" t="e">
        <f t="shared" si="7"/>
        <v>#REF!</v>
      </c>
    </row>
    <row r="622" spans="2:3" ht="16" x14ac:dyDescent="0.2">
      <c r="B622" s="41" t="e">
        <f>IF(H622="credit",#REF!, (#REF!* -1))</f>
        <v>#REF!</v>
      </c>
      <c r="C622" s="497" t="e">
        <f t="shared" si="7"/>
        <v>#REF!</v>
      </c>
    </row>
    <row r="623" spans="2:3" ht="16" x14ac:dyDescent="0.2">
      <c r="B623" s="41" t="e">
        <f>IF(H623="credit",#REF!, (#REF!* -1))</f>
        <v>#REF!</v>
      </c>
      <c r="C623" s="497" t="e">
        <f t="shared" si="7"/>
        <v>#REF!</v>
      </c>
    </row>
    <row r="624" spans="2:3" ht="16" x14ac:dyDescent="0.2">
      <c r="B624" s="41" t="e">
        <f>IF(H624="credit",#REF!, (#REF!* -1))</f>
        <v>#REF!</v>
      </c>
      <c r="C624" s="497" t="e">
        <f t="shared" si="7"/>
        <v>#REF!</v>
      </c>
    </row>
    <row r="625" spans="2:3" ht="16" x14ac:dyDescent="0.2">
      <c r="B625" s="41" t="e">
        <f>IF(H625="credit",#REF!, (#REF!* -1))</f>
        <v>#REF!</v>
      </c>
      <c r="C625" s="497" t="e">
        <f t="shared" si="7"/>
        <v>#REF!</v>
      </c>
    </row>
    <row r="626" spans="2:3" ht="16" x14ac:dyDescent="0.2">
      <c r="B626" s="41" t="e">
        <f>IF(H626="credit",#REF!, (#REF!* -1))</f>
        <v>#REF!</v>
      </c>
      <c r="C626" s="497" t="e">
        <f t="shared" si="7"/>
        <v>#REF!</v>
      </c>
    </row>
    <row r="627" spans="2:3" ht="16" x14ac:dyDescent="0.2">
      <c r="B627" s="41" t="e">
        <f>IF(H627="credit",#REF!, (#REF!* -1))</f>
        <v>#REF!</v>
      </c>
      <c r="C627" s="497" t="e">
        <f t="shared" si="7"/>
        <v>#REF!</v>
      </c>
    </row>
    <row r="628" spans="2:3" ht="16" x14ac:dyDescent="0.2">
      <c r="B628" s="41" t="e">
        <f>IF(H628="credit",#REF!, (#REF!* -1))</f>
        <v>#REF!</v>
      </c>
      <c r="C628" s="497" t="e">
        <f t="shared" si="7"/>
        <v>#REF!</v>
      </c>
    </row>
    <row r="629" spans="2:3" ht="16" x14ac:dyDescent="0.2">
      <c r="B629" s="41" t="e">
        <f>IF(H629="credit",#REF!, (#REF!* -1))</f>
        <v>#REF!</v>
      </c>
      <c r="C629" s="497" t="e">
        <f t="shared" si="7"/>
        <v>#REF!</v>
      </c>
    </row>
    <row r="630" spans="2:3" ht="16" x14ac:dyDescent="0.2">
      <c r="B630" s="41" t="e">
        <f>IF(H630="credit",#REF!, (#REF!* -1))</f>
        <v>#REF!</v>
      </c>
      <c r="C630" s="497" t="e">
        <f t="shared" si="7"/>
        <v>#REF!</v>
      </c>
    </row>
    <row r="631" spans="2:3" ht="16" x14ac:dyDescent="0.2">
      <c r="B631" s="41" t="e">
        <f>IF(H631="credit",#REF!, (#REF!* -1))</f>
        <v>#REF!</v>
      </c>
      <c r="C631" s="497" t="e">
        <f t="shared" si="7"/>
        <v>#REF!</v>
      </c>
    </row>
    <row r="632" spans="2:3" ht="16" x14ac:dyDescent="0.2">
      <c r="B632" s="41" t="e">
        <f>IF(H632="credit",#REF!, (#REF!* -1))</f>
        <v>#REF!</v>
      </c>
      <c r="C632" s="497" t="e">
        <f t="shared" si="7"/>
        <v>#REF!</v>
      </c>
    </row>
    <row r="633" spans="2:3" ht="16" x14ac:dyDescent="0.2">
      <c r="B633" s="41" t="e">
        <f>IF(H633="credit",#REF!, (#REF!* -1))</f>
        <v>#REF!</v>
      </c>
      <c r="C633" s="497" t="e">
        <f t="shared" si="7"/>
        <v>#REF!</v>
      </c>
    </row>
    <row r="634" spans="2:3" ht="16" x14ac:dyDescent="0.2">
      <c r="B634" s="41" t="e">
        <f>IF(H634="credit",#REF!, (#REF!* -1))</f>
        <v>#REF!</v>
      </c>
      <c r="C634" s="497" t="e">
        <f t="shared" si="7"/>
        <v>#REF!</v>
      </c>
    </row>
    <row r="635" spans="2:3" ht="16" x14ac:dyDescent="0.2">
      <c r="B635" s="41" t="e">
        <f>IF(H635="credit",#REF!, (#REF!* -1))</f>
        <v>#REF!</v>
      </c>
      <c r="C635" s="497" t="e">
        <f t="shared" si="7"/>
        <v>#REF!</v>
      </c>
    </row>
    <row r="636" spans="2:3" ht="16" x14ac:dyDescent="0.2">
      <c r="B636" s="41" t="e">
        <f>IF(H636="credit",#REF!, (#REF!* -1))</f>
        <v>#REF!</v>
      </c>
      <c r="C636" s="497" t="e">
        <f t="shared" si="7"/>
        <v>#REF!</v>
      </c>
    </row>
    <row r="637" spans="2:3" ht="16" x14ac:dyDescent="0.2">
      <c r="B637" s="41" t="e">
        <f>IF(H637="credit",#REF!, (#REF!* -1))</f>
        <v>#REF!</v>
      </c>
      <c r="C637" s="497" t="e">
        <f t="shared" si="7"/>
        <v>#REF!</v>
      </c>
    </row>
    <row r="638" spans="2:3" ht="16" x14ac:dyDescent="0.2">
      <c r="B638" s="41" t="e">
        <f>IF(H638="credit",#REF!, (#REF!* -1))</f>
        <v>#REF!</v>
      </c>
      <c r="C638" s="497" t="e">
        <f t="shared" si="7"/>
        <v>#REF!</v>
      </c>
    </row>
    <row r="639" spans="2:3" ht="16" x14ac:dyDescent="0.2">
      <c r="B639" s="41" t="e">
        <f>IF(H639="credit",#REF!, (#REF!* -1))</f>
        <v>#REF!</v>
      </c>
      <c r="C639" s="497" t="e">
        <f t="shared" si="7"/>
        <v>#REF!</v>
      </c>
    </row>
    <row r="640" spans="2:3" ht="16" x14ac:dyDescent="0.2">
      <c r="B640" s="41" t="e">
        <f>IF(H640="credit",#REF!, (#REF!* -1))</f>
        <v>#REF!</v>
      </c>
      <c r="C640" s="497" t="e">
        <f t="shared" si="7"/>
        <v>#REF!</v>
      </c>
    </row>
    <row r="641" spans="2:3" ht="16" x14ac:dyDescent="0.2">
      <c r="B641" s="41" t="e">
        <f>IF(H641="credit",#REF!, (#REF!* -1))</f>
        <v>#REF!</v>
      </c>
      <c r="C641" s="497" t="e">
        <f t="shared" si="7"/>
        <v>#REF!</v>
      </c>
    </row>
    <row r="642" spans="2:3" ht="16" x14ac:dyDescent="0.2">
      <c r="B642" s="41" t="e">
        <f>IF(H642="credit",#REF!, (#REF!* -1))</f>
        <v>#REF!</v>
      </c>
      <c r="C642" s="497" t="e">
        <f t="shared" si="7"/>
        <v>#REF!</v>
      </c>
    </row>
    <row r="643" spans="2:3" ht="16" x14ac:dyDescent="0.2">
      <c r="B643" s="41" t="e">
        <f>IF(H643="credit",#REF!, (#REF!* -1))</f>
        <v>#REF!</v>
      </c>
      <c r="C643" s="497" t="e">
        <f t="shared" si="7"/>
        <v>#REF!</v>
      </c>
    </row>
    <row r="644" spans="2:3" ht="16" x14ac:dyDescent="0.2">
      <c r="B644" s="41" t="e">
        <f>IF(H644="credit",#REF!, (#REF!* -1))</f>
        <v>#REF!</v>
      </c>
      <c r="C644" s="497" t="e">
        <f t="shared" ref="C644:C707" si="8">C643+B644</f>
        <v>#REF!</v>
      </c>
    </row>
    <row r="645" spans="2:3" ht="16" x14ac:dyDescent="0.2">
      <c r="B645" s="41" t="e">
        <f>IF(H645="credit",#REF!, (#REF!* -1))</f>
        <v>#REF!</v>
      </c>
      <c r="C645" s="497" t="e">
        <f t="shared" si="8"/>
        <v>#REF!</v>
      </c>
    </row>
    <row r="646" spans="2:3" ht="16" x14ac:dyDescent="0.2">
      <c r="B646" s="41" t="e">
        <f>IF(H646="credit",#REF!, (#REF!* -1))</f>
        <v>#REF!</v>
      </c>
      <c r="C646" s="497" t="e">
        <f t="shared" si="8"/>
        <v>#REF!</v>
      </c>
    </row>
    <row r="647" spans="2:3" ht="16" x14ac:dyDescent="0.2">
      <c r="B647" s="41" t="e">
        <f>IF(H647="credit",#REF!, (#REF!* -1))</f>
        <v>#REF!</v>
      </c>
      <c r="C647" s="497" t="e">
        <f t="shared" si="8"/>
        <v>#REF!</v>
      </c>
    </row>
    <row r="648" spans="2:3" ht="16" x14ac:dyDescent="0.2">
      <c r="B648" s="41" t="e">
        <f>IF(H648="credit",#REF!, (#REF!* -1))</f>
        <v>#REF!</v>
      </c>
      <c r="C648" s="497" t="e">
        <f t="shared" si="8"/>
        <v>#REF!</v>
      </c>
    </row>
    <row r="649" spans="2:3" ht="16" x14ac:dyDescent="0.2">
      <c r="B649" s="41" t="e">
        <f>IF(H649="credit",#REF!, (#REF!* -1))</f>
        <v>#REF!</v>
      </c>
      <c r="C649" s="497" t="e">
        <f t="shared" si="8"/>
        <v>#REF!</v>
      </c>
    </row>
    <row r="650" spans="2:3" ht="16" x14ac:dyDescent="0.2">
      <c r="B650" s="41" t="e">
        <f>IF(H650="credit",#REF!, (#REF!* -1))</f>
        <v>#REF!</v>
      </c>
      <c r="C650" s="497" t="e">
        <f t="shared" si="8"/>
        <v>#REF!</v>
      </c>
    </row>
    <row r="651" spans="2:3" ht="16" x14ac:dyDescent="0.2">
      <c r="B651" s="41" t="e">
        <f>IF(H651="credit",#REF!, (#REF!* -1))</f>
        <v>#REF!</v>
      </c>
      <c r="C651" s="497" t="e">
        <f t="shared" si="8"/>
        <v>#REF!</v>
      </c>
    </row>
    <row r="652" spans="2:3" ht="16" x14ac:dyDescent="0.2">
      <c r="B652" s="41" t="e">
        <f>IF(H652="credit",#REF!, (#REF!* -1))</f>
        <v>#REF!</v>
      </c>
      <c r="C652" s="497" t="e">
        <f t="shared" si="8"/>
        <v>#REF!</v>
      </c>
    </row>
    <row r="653" spans="2:3" ht="16" x14ac:dyDescent="0.2">
      <c r="B653" s="41" t="e">
        <f>IF(H653="credit",#REF!, (#REF!* -1))</f>
        <v>#REF!</v>
      </c>
      <c r="C653" s="497" t="e">
        <f t="shared" si="8"/>
        <v>#REF!</v>
      </c>
    </row>
    <row r="654" spans="2:3" ht="16" x14ac:dyDescent="0.2">
      <c r="B654" s="41" t="e">
        <f>IF(H654="credit",#REF!, (#REF!* -1))</f>
        <v>#REF!</v>
      </c>
      <c r="C654" s="497" t="e">
        <f t="shared" si="8"/>
        <v>#REF!</v>
      </c>
    </row>
    <row r="655" spans="2:3" ht="16" x14ac:dyDescent="0.2">
      <c r="B655" s="41" t="e">
        <f>IF(H655="credit",#REF!, (#REF!* -1))</f>
        <v>#REF!</v>
      </c>
      <c r="C655" s="497" t="e">
        <f t="shared" si="8"/>
        <v>#REF!</v>
      </c>
    </row>
    <row r="656" spans="2:3" ht="16" x14ac:dyDescent="0.2">
      <c r="B656" s="41" t="e">
        <f>IF(H656="credit",#REF!, (#REF!* -1))</f>
        <v>#REF!</v>
      </c>
      <c r="C656" s="497" t="e">
        <f t="shared" si="8"/>
        <v>#REF!</v>
      </c>
    </row>
    <row r="657" spans="2:3" ht="16" x14ac:dyDescent="0.2">
      <c r="B657" s="41" t="e">
        <f>IF(H657="credit",#REF!, (#REF!* -1))</f>
        <v>#REF!</v>
      </c>
      <c r="C657" s="497" t="e">
        <f t="shared" si="8"/>
        <v>#REF!</v>
      </c>
    </row>
    <row r="658" spans="2:3" ht="16" x14ac:dyDescent="0.2">
      <c r="B658" s="41" t="e">
        <f>IF(H658="credit",#REF!, (#REF!* -1))</f>
        <v>#REF!</v>
      </c>
      <c r="C658" s="497" t="e">
        <f t="shared" si="8"/>
        <v>#REF!</v>
      </c>
    </row>
    <row r="659" spans="2:3" ht="16" x14ac:dyDescent="0.2">
      <c r="B659" s="41" t="e">
        <f>IF(H659="credit",#REF!, (#REF!* -1))</f>
        <v>#REF!</v>
      </c>
      <c r="C659" s="497" t="e">
        <f t="shared" si="8"/>
        <v>#REF!</v>
      </c>
    </row>
    <row r="660" spans="2:3" ht="16" x14ac:dyDescent="0.2">
      <c r="B660" s="41" t="e">
        <f>IF(H660="credit",#REF!, (#REF!* -1))</f>
        <v>#REF!</v>
      </c>
      <c r="C660" s="497" t="e">
        <f t="shared" si="8"/>
        <v>#REF!</v>
      </c>
    </row>
    <row r="661" spans="2:3" ht="16" x14ac:dyDescent="0.2">
      <c r="B661" s="41" t="e">
        <f>IF(H661="credit",#REF!, (#REF!* -1))</f>
        <v>#REF!</v>
      </c>
      <c r="C661" s="497" t="e">
        <f t="shared" si="8"/>
        <v>#REF!</v>
      </c>
    </row>
    <row r="662" spans="2:3" ht="16" x14ac:dyDescent="0.2">
      <c r="B662" s="41" t="e">
        <f>IF(H662="credit",#REF!, (#REF!* -1))</f>
        <v>#REF!</v>
      </c>
      <c r="C662" s="497" t="e">
        <f t="shared" si="8"/>
        <v>#REF!</v>
      </c>
    </row>
    <row r="663" spans="2:3" ht="16" x14ac:dyDescent="0.2">
      <c r="B663" s="41" t="e">
        <f>IF(H663="credit",#REF!, (#REF!* -1))</f>
        <v>#REF!</v>
      </c>
      <c r="C663" s="497" t="e">
        <f t="shared" si="8"/>
        <v>#REF!</v>
      </c>
    </row>
    <row r="664" spans="2:3" ht="16" x14ac:dyDescent="0.2">
      <c r="B664" s="41" t="e">
        <f>IF(H664="credit",#REF!, (#REF!* -1))</f>
        <v>#REF!</v>
      </c>
      <c r="C664" s="497" t="e">
        <f t="shared" si="8"/>
        <v>#REF!</v>
      </c>
    </row>
    <row r="665" spans="2:3" ht="16" x14ac:dyDescent="0.2">
      <c r="B665" s="41" t="e">
        <f>IF(H665="credit",#REF!, (#REF!* -1))</f>
        <v>#REF!</v>
      </c>
      <c r="C665" s="497" t="e">
        <f t="shared" si="8"/>
        <v>#REF!</v>
      </c>
    </row>
    <row r="666" spans="2:3" ht="16" x14ac:dyDescent="0.2">
      <c r="B666" s="41" t="e">
        <f>IF(H666="credit",#REF!, (#REF!* -1))</f>
        <v>#REF!</v>
      </c>
      <c r="C666" s="497" t="e">
        <f t="shared" si="8"/>
        <v>#REF!</v>
      </c>
    </row>
    <row r="667" spans="2:3" ht="16" x14ac:dyDescent="0.2">
      <c r="B667" s="41" t="e">
        <f>IF(H667="credit",#REF!, (#REF!* -1))</f>
        <v>#REF!</v>
      </c>
      <c r="C667" s="497" t="e">
        <f t="shared" si="8"/>
        <v>#REF!</v>
      </c>
    </row>
    <row r="668" spans="2:3" ht="16" x14ac:dyDescent="0.2">
      <c r="B668" s="41" t="e">
        <f>IF(H668="credit",#REF!, (#REF!* -1))</f>
        <v>#REF!</v>
      </c>
      <c r="C668" s="497" t="e">
        <f t="shared" si="8"/>
        <v>#REF!</v>
      </c>
    </row>
    <row r="669" spans="2:3" ht="16" x14ac:dyDescent="0.2">
      <c r="B669" s="41" t="e">
        <f>IF(H669="credit",#REF!, (#REF!* -1))</f>
        <v>#REF!</v>
      </c>
      <c r="C669" s="497" t="e">
        <f t="shared" si="8"/>
        <v>#REF!</v>
      </c>
    </row>
    <row r="670" spans="2:3" ht="16" x14ac:dyDescent="0.2">
      <c r="B670" s="41" t="e">
        <f>IF(H670="credit",#REF!, (#REF!* -1))</f>
        <v>#REF!</v>
      </c>
      <c r="C670" s="497" t="e">
        <f t="shared" si="8"/>
        <v>#REF!</v>
      </c>
    </row>
    <row r="671" spans="2:3" ht="16" x14ac:dyDescent="0.2">
      <c r="B671" s="41" t="e">
        <f>IF(H671="credit",#REF!, (#REF!* -1))</f>
        <v>#REF!</v>
      </c>
      <c r="C671" s="497" t="e">
        <f t="shared" si="8"/>
        <v>#REF!</v>
      </c>
    </row>
    <row r="672" spans="2:3" ht="16" x14ac:dyDescent="0.2">
      <c r="B672" s="41" t="e">
        <f>IF(H672="credit",#REF!, (#REF!* -1))</f>
        <v>#REF!</v>
      </c>
      <c r="C672" s="497" t="e">
        <f t="shared" si="8"/>
        <v>#REF!</v>
      </c>
    </row>
    <row r="673" spans="2:3" ht="16" x14ac:dyDescent="0.2">
      <c r="B673" s="41" t="e">
        <f>IF(H673="credit",#REF!, (#REF!* -1))</f>
        <v>#REF!</v>
      </c>
      <c r="C673" s="497" t="e">
        <f t="shared" si="8"/>
        <v>#REF!</v>
      </c>
    </row>
    <row r="674" spans="2:3" ht="16" x14ac:dyDescent="0.2">
      <c r="B674" s="41" t="e">
        <f>IF(H674="credit",#REF!, (#REF!* -1))</f>
        <v>#REF!</v>
      </c>
      <c r="C674" s="497" t="e">
        <f t="shared" si="8"/>
        <v>#REF!</v>
      </c>
    </row>
    <row r="675" spans="2:3" ht="16" x14ac:dyDescent="0.2">
      <c r="B675" s="41" t="e">
        <f>IF(H675="credit",#REF!, (#REF!* -1))</f>
        <v>#REF!</v>
      </c>
      <c r="C675" s="497" t="e">
        <f t="shared" si="8"/>
        <v>#REF!</v>
      </c>
    </row>
    <row r="676" spans="2:3" ht="16" x14ac:dyDescent="0.2">
      <c r="B676" s="41" t="e">
        <f>IF(H676="credit",#REF!, (#REF!* -1))</f>
        <v>#REF!</v>
      </c>
      <c r="C676" s="497" t="e">
        <f t="shared" si="8"/>
        <v>#REF!</v>
      </c>
    </row>
    <row r="677" spans="2:3" ht="16" x14ac:dyDescent="0.2">
      <c r="B677" s="41" t="e">
        <f>IF(H677="credit",#REF!, (#REF!* -1))</f>
        <v>#REF!</v>
      </c>
      <c r="C677" s="497" t="e">
        <f t="shared" si="8"/>
        <v>#REF!</v>
      </c>
    </row>
    <row r="678" spans="2:3" ht="16" x14ac:dyDescent="0.2">
      <c r="B678" s="41" t="e">
        <f>IF(H678="credit",#REF!, (#REF!* -1))</f>
        <v>#REF!</v>
      </c>
      <c r="C678" s="497" t="e">
        <f t="shared" si="8"/>
        <v>#REF!</v>
      </c>
    </row>
    <row r="679" spans="2:3" ht="16" x14ac:dyDescent="0.2">
      <c r="B679" s="41" t="e">
        <f>IF(H679="credit",#REF!, (#REF!* -1))</f>
        <v>#REF!</v>
      </c>
      <c r="C679" s="497" t="e">
        <f t="shared" si="8"/>
        <v>#REF!</v>
      </c>
    </row>
    <row r="680" spans="2:3" ht="16" x14ac:dyDescent="0.2">
      <c r="B680" s="41" t="e">
        <f>IF(H680="credit",#REF!, (#REF!* -1))</f>
        <v>#REF!</v>
      </c>
      <c r="C680" s="497" t="e">
        <f t="shared" si="8"/>
        <v>#REF!</v>
      </c>
    </row>
    <row r="681" spans="2:3" ht="16" x14ac:dyDescent="0.2">
      <c r="B681" s="41" t="e">
        <f>IF(H681="credit",#REF!, (#REF!* -1))</f>
        <v>#REF!</v>
      </c>
      <c r="C681" s="497" t="e">
        <f t="shared" si="8"/>
        <v>#REF!</v>
      </c>
    </row>
    <row r="682" spans="2:3" ht="16" x14ac:dyDescent="0.2">
      <c r="B682" s="41" t="e">
        <f>IF(H682="credit",#REF!, (#REF!* -1))</f>
        <v>#REF!</v>
      </c>
      <c r="C682" s="497" t="e">
        <f t="shared" si="8"/>
        <v>#REF!</v>
      </c>
    </row>
    <row r="683" spans="2:3" ht="16" x14ac:dyDescent="0.2">
      <c r="B683" s="41" t="e">
        <f>IF(H683="credit",#REF!, (#REF!* -1))</f>
        <v>#REF!</v>
      </c>
      <c r="C683" s="497" t="e">
        <f t="shared" si="8"/>
        <v>#REF!</v>
      </c>
    </row>
    <row r="684" spans="2:3" ht="16" x14ac:dyDescent="0.2">
      <c r="B684" s="41" t="e">
        <f>IF(H684="credit",#REF!, (#REF!* -1))</f>
        <v>#REF!</v>
      </c>
      <c r="C684" s="497" t="e">
        <f t="shared" si="8"/>
        <v>#REF!</v>
      </c>
    </row>
    <row r="685" spans="2:3" ht="16" x14ac:dyDescent="0.2">
      <c r="B685" s="41" t="e">
        <f>IF(H685="credit",#REF!, (#REF!* -1))</f>
        <v>#REF!</v>
      </c>
      <c r="C685" s="497" t="e">
        <f t="shared" si="8"/>
        <v>#REF!</v>
      </c>
    </row>
    <row r="686" spans="2:3" ht="16" x14ac:dyDescent="0.2">
      <c r="B686" s="41" t="e">
        <f>IF(H686="credit",#REF!, (#REF!* -1))</f>
        <v>#REF!</v>
      </c>
      <c r="C686" s="497" t="e">
        <f t="shared" si="8"/>
        <v>#REF!</v>
      </c>
    </row>
    <row r="687" spans="2:3" ht="16" x14ac:dyDescent="0.2">
      <c r="B687" s="41" t="e">
        <f>IF(H687="credit",#REF!, (#REF!* -1))</f>
        <v>#REF!</v>
      </c>
      <c r="C687" s="497" t="e">
        <f t="shared" si="8"/>
        <v>#REF!</v>
      </c>
    </row>
    <row r="688" spans="2:3" ht="16" x14ac:dyDescent="0.2">
      <c r="B688" s="41" t="e">
        <f>IF(H688="credit",#REF!, (#REF!* -1))</f>
        <v>#REF!</v>
      </c>
      <c r="C688" s="497" t="e">
        <f t="shared" si="8"/>
        <v>#REF!</v>
      </c>
    </row>
    <row r="689" spans="2:3" ht="16" x14ac:dyDescent="0.2">
      <c r="B689" s="41" t="e">
        <f>IF(H689="credit",#REF!, (#REF!* -1))</f>
        <v>#REF!</v>
      </c>
      <c r="C689" s="497" t="e">
        <f t="shared" si="8"/>
        <v>#REF!</v>
      </c>
    </row>
    <row r="690" spans="2:3" ht="16" x14ac:dyDescent="0.2">
      <c r="B690" s="41" t="e">
        <f>IF(H690="credit",#REF!, (#REF!* -1))</f>
        <v>#REF!</v>
      </c>
      <c r="C690" s="497" t="e">
        <f t="shared" si="8"/>
        <v>#REF!</v>
      </c>
    </row>
    <row r="691" spans="2:3" ht="16" x14ac:dyDescent="0.2">
      <c r="B691" s="41" t="e">
        <f>IF(H691="credit",#REF!, (#REF!* -1))</f>
        <v>#REF!</v>
      </c>
      <c r="C691" s="497" t="e">
        <f t="shared" si="8"/>
        <v>#REF!</v>
      </c>
    </row>
    <row r="692" spans="2:3" ht="16" x14ac:dyDescent="0.2">
      <c r="B692" s="41" t="e">
        <f>IF(H692="credit",#REF!, (#REF!* -1))</f>
        <v>#REF!</v>
      </c>
      <c r="C692" s="497" t="e">
        <f t="shared" si="8"/>
        <v>#REF!</v>
      </c>
    </row>
    <row r="693" spans="2:3" ht="16" x14ac:dyDescent="0.2">
      <c r="B693" s="41" t="e">
        <f>IF(H693="credit",#REF!, (#REF!* -1))</f>
        <v>#REF!</v>
      </c>
      <c r="C693" s="497" t="e">
        <f t="shared" si="8"/>
        <v>#REF!</v>
      </c>
    </row>
    <row r="694" spans="2:3" ht="16" x14ac:dyDescent="0.2">
      <c r="B694" s="41" t="e">
        <f>IF(H694="credit",#REF!, (#REF!* -1))</f>
        <v>#REF!</v>
      </c>
      <c r="C694" s="497" t="e">
        <f t="shared" si="8"/>
        <v>#REF!</v>
      </c>
    </row>
    <row r="695" spans="2:3" ht="16" x14ac:dyDescent="0.2">
      <c r="B695" s="41" t="e">
        <f>IF(H695="credit",#REF!, (#REF!* -1))</f>
        <v>#REF!</v>
      </c>
      <c r="C695" s="497" t="e">
        <f t="shared" si="8"/>
        <v>#REF!</v>
      </c>
    </row>
    <row r="696" spans="2:3" ht="16" x14ac:dyDescent="0.2">
      <c r="B696" s="41" t="e">
        <f>IF(H696="credit",#REF!, (#REF!* -1))</f>
        <v>#REF!</v>
      </c>
      <c r="C696" s="497" t="e">
        <f t="shared" si="8"/>
        <v>#REF!</v>
      </c>
    </row>
    <row r="697" spans="2:3" ht="16" x14ac:dyDescent="0.2">
      <c r="B697" s="41" t="e">
        <f>IF(H697="credit",#REF!, (#REF!* -1))</f>
        <v>#REF!</v>
      </c>
      <c r="C697" s="497" t="e">
        <f t="shared" si="8"/>
        <v>#REF!</v>
      </c>
    </row>
    <row r="698" spans="2:3" ht="16" x14ac:dyDescent="0.2">
      <c r="B698" s="41" t="e">
        <f>IF(H698="credit",#REF!, (#REF!* -1))</f>
        <v>#REF!</v>
      </c>
      <c r="C698" s="497" t="e">
        <f t="shared" si="8"/>
        <v>#REF!</v>
      </c>
    </row>
    <row r="699" spans="2:3" ht="16" x14ac:dyDescent="0.2">
      <c r="B699" s="41" t="e">
        <f>IF(H699="credit",#REF!, (#REF!* -1))</f>
        <v>#REF!</v>
      </c>
      <c r="C699" s="497" t="e">
        <f t="shared" si="8"/>
        <v>#REF!</v>
      </c>
    </row>
    <row r="700" spans="2:3" ht="16" x14ac:dyDescent="0.2">
      <c r="B700" s="41" t="e">
        <f>IF(H700="credit",#REF!, (#REF!* -1))</f>
        <v>#REF!</v>
      </c>
      <c r="C700" s="497" t="e">
        <f t="shared" si="8"/>
        <v>#REF!</v>
      </c>
    </row>
    <row r="701" spans="2:3" ht="16" x14ac:dyDescent="0.2">
      <c r="B701" s="41" t="e">
        <f>IF(H701="credit",#REF!, (#REF!* -1))</f>
        <v>#REF!</v>
      </c>
      <c r="C701" s="497" t="e">
        <f t="shared" si="8"/>
        <v>#REF!</v>
      </c>
    </row>
    <row r="702" spans="2:3" ht="16" x14ac:dyDescent="0.2">
      <c r="B702" s="41" t="e">
        <f>IF(H702="credit",#REF!, (#REF!* -1))</f>
        <v>#REF!</v>
      </c>
      <c r="C702" s="497" t="e">
        <f t="shared" si="8"/>
        <v>#REF!</v>
      </c>
    </row>
    <row r="703" spans="2:3" ht="16" x14ac:dyDescent="0.2">
      <c r="B703" s="41" t="e">
        <f>IF(H703="credit",#REF!, (#REF!* -1))</f>
        <v>#REF!</v>
      </c>
      <c r="C703" s="497" t="e">
        <f t="shared" si="8"/>
        <v>#REF!</v>
      </c>
    </row>
    <row r="704" spans="2:3" ht="16" x14ac:dyDescent="0.2">
      <c r="B704" s="41" t="e">
        <f>IF(H704="credit",#REF!, (#REF!* -1))</f>
        <v>#REF!</v>
      </c>
      <c r="C704" s="497" t="e">
        <f t="shared" si="8"/>
        <v>#REF!</v>
      </c>
    </row>
    <row r="705" spans="2:3" ht="16" x14ac:dyDescent="0.2">
      <c r="B705" s="41" t="e">
        <f>IF(H705="credit",#REF!, (#REF!* -1))</f>
        <v>#REF!</v>
      </c>
      <c r="C705" s="497" t="e">
        <f t="shared" si="8"/>
        <v>#REF!</v>
      </c>
    </row>
    <row r="706" spans="2:3" ht="16" x14ac:dyDescent="0.2">
      <c r="B706" s="41" t="e">
        <f>IF(H706="credit",#REF!, (#REF!* -1))</f>
        <v>#REF!</v>
      </c>
      <c r="C706" s="497" t="e">
        <f t="shared" si="8"/>
        <v>#REF!</v>
      </c>
    </row>
    <row r="707" spans="2:3" ht="16" x14ac:dyDescent="0.2">
      <c r="B707" s="41" t="e">
        <f>IF(H707="credit",#REF!, (#REF!* -1))</f>
        <v>#REF!</v>
      </c>
      <c r="C707" s="497" t="e">
        <f t="shared" si="8"/>
        <v>#REF!</v>
      </c>
    </row>
    <row r="708" spans="2:3" ht="16" x14ac:dyDescent="0.2">
      <c r="B708" s="41" t="e">
        <f>IF(H708="credit",#REF!, (#REF!* -1))</f>
        <v>#REF!</v>
      </c>
      <c r="C708" s="497" t="e">
        <f t="shared" ref="C708:C771" si="9">C707+B708</f>
        <v>#REF!</v>
      </c>
    </row>
    <row r="709" spans="2:3" ht="16" x14ac:dyDescent="0.2">
      <c r="B709" s="41" t="e">
        <f>IF(H709="credit",#REF!, (#REF!* -1))</f>
        <v>#REF!</v>
      </c>
      <c r="C709" s="497" t="e">
        <f t="shared" si="9"/>
        <v>#REF!</v>
      </c>
    </row>
    <row r="710" spans="2:3" ht="16" x14ac:dyDescent="0.2">
      <c r="B710" s="41" t="e">
        <f>IF(H710="credit",#REF!, (#REF!* -1))</f>
        <v>#REF!</v>
      </c>
      <c r="C710" s="497" t="e">
        <f t="shared" si="9"/>
        <v>#REF!</v>
      </c>
    </row>
    <row r="711" spans="2:3" ht="16" x14ac:dyDescent="0.2">
      <c r="B711" s="41" t="e">
        <f>IF(H711="credit",#REF!, (#REF!* -1))</f>
        <v>#REF!</v>
      </c>
      <c r="C711" s="497" t="e">
        <f t="shared" si="9"/>
        <v>#REF!</v>
      </c>
    </row>
    <row r="712" spans="2:3" ht="16" x14ac:dyDescent="0.2">
      <c r="B712" s="41" t="e">
        <f>IF(H712="credit",#REF!, (#REF!* -1))</f>
        <v>#REF!</v>
      </c>
      <c r="C712" s="497" t="e">
        <f t="shared" si="9"/>
        <v>#REF!</v>
      </c>
    </row>
    <row r="713" spans="2:3" ht="16" x14ac:dyDescent="0.2">
      <c r="B713" s="41" t="e">
        <f>IF(H713="credit",#REF!, (#REF!* -1))</f>
        <v>#REF!</v>
      </c>
      <c r="C713" s="497" t="e">
        <f t="shared" si="9"/>
        <v>#REF!</v>
      </c>
    </row>
    <row r="714" spans="2:3" ht="16" x14ac:dyDescent="0.2">
      <c r="B714" s="41" t="e">
        <f>IF(H714="credit",#REF!, (#REF!* -1))</f>
        <v>#REF!</v>
      </c>
      <c r="C714" s="497" t="e">
        <f t="shared" si="9"/>
        <v>#REF!</v>
      </c>
    </row>
    <row r="715" spans="2:3" ht="16" x14ac:dyDescent="0.2">
      <c r="B715" s="41" t="e">
        <f>IF(H715="credit",#REF!, (#REF!* -1))</f>
        <v>#REF!</v>
      </c>
      <c r="C715" s="497" t="e">
        <f t="shared" si="9"/>
        <v>#REF!</v>
      </c>
    </row>
    <row r="716" spans="2:3" ht="16" x14ac:dyDescent="0.2">
      <c r="B716" s="41" t="e">
        <f>IF(H716="credit",#REF!, (#REF!* -1))</f>
        <v>#REF!</v>
      </c>
      <c r="C716" s="497" t="e">
        <f t="shared" si="9"/>
        <v>#REF!</v>
      </c>
    </row>
    <row r="717" spans="2:3" ht="16" x14ac:dyDescent="0.2">
      <c r="B717" s="41" t="e">
        <f>IF(H717="credit",#REF!, (#REF!* -1))</f>
        <v>#REF!</v>
      </c>
      <c r="C717" s="497" t="e">
        <f t="shared" si="9"/>
        <v>#REF!</v>
      </c>
    </row>
    <row r="718" spans="2:3" ht="16" x14ac:dyDescent="0.2">
      <c r="B718" s="41" t="e">
        <f>IF(H718="credit",#REF!, (#REF!* -1))</f>
        <v>#REF!</v>
      </c>
      <c r="C718" s="497" t="e">
        <f t="shared" si="9"/>
        <v>#REF!</v>
      </c>
    </row>
    <row r="719" spans="2:3" ht="16" x14ac:dyDescent="0.2">
      <c r="B719" s="41" t="e">
        <f>IF(H719="credit",#REF!, (#REF!* -1))</f>
        <v>#REF!</v>
      </c>
      <c r="C719" s="497" t="e">
        <f t="shared" si="9"/>
        <v>#REF!</v>
      </c>
    </row>
    <row r="720" spans="2:3" ht="16" x14ac:dyDescent="0.2">
      <c r="B720" s="41" t="e">
        <f>IF(H720="credit",#REF!, (#REF!* -1))</f>
        <v>#REF!</v>
      </c>
      <c r="C720" s="497" t="e">
        <f t="shared" si="9"/>
        <v>#REF!</v>
      </c>
    </row>
    <row r="721" spans="2:3" ht="16" x14ac:dyDescent="0.2">
      <c r="B721" s="41" t="e">
        <f>IF(H721="credit",#REF!, (#REF!* -1))</f>
        <v>#REF!</v>
      </c>
      <c r="C721" s="497" t="e">
        <f t="shared" si="9"/>
        <v>#REF!</v>
      </c>
    </row>
    <row r="722" spans="2:3" ht="16" x14ac:dyDescent="0.2">
      <c r="B722" s="41" t="e">
        <f>IF(H722="credit",#REF!, (#REF!* -1))</f>
        <v>#REF!</v>
      </c>
      <c r="C722" s="497" t="e">
        <f t="shared" si="9"/>
        <v>#REF!</v>
      </c>
    </row>
    <row r="723" spans="2:3" ht="16" x14ac:dyDescent="0.2">
      <c r="B723" s="41" t="e">
        <f>IF(H723="credit",#REF!, (#REF!* -1))</f>
        <v>#REF!</v>
      </c>
      <c r="C723" s="497" t="e">
        <f t="shared" si="9"/>
        <v>#REF!</v>
      </c>
    </row>
    <row r="724" spans="2:3" ht="16" x14ac:dyDescent="0.2">
      <c r="B724" s="41" t="e">
        <f>IF(H724="credit",#REF!, (#REF!* -1))</f>
        <v>#REF!</v>
      </c>
      <c r="C724" s="497" t="e">
        <f t="shared" si="9"/>
        <v>#REF!</v>
      </c>
    </row>
    <row r="725" spans="2:3" ht="16" x14ac:dyDescent="0.2">
      <c r="B725" s="41" t="e">
        <f>IF(H725="credit",#REF!, (#REF!* -1))</f>
        <v>#REF!</v>
      </c>
      <c r="C725" s="497" t="e">
        <f t="shared" si="9"/>
        <v>#REF!</v>
      </c>
    </row>
    <row r="726" spans="2:3" ht="16" x14ac:dyDescent="0.2">
      <c r="B726" s="41" t="e">
        <f>IF(H726="credit",#REF!, (#REF!* -1))</f>
        <v>#REF!</v>
      </c>
      <c r="C726" s="497" t="e">
        <f t="shared" si="9"/>
        <v>#REF!</v>
      </c>
    </row>
    <row r="727" spans="2:3" ht="16" x14ac:dyDescent="0.2">
      <c r="B727" s="41" t="e">
        <f>IF(H727="credit",#REF!, (#REF!* -1))</f>
        <v>#REF!</v>
      </c>
      <c r="C727" s="497" t="e">
        <f t="shared" si="9"/>
        <v>#REF!</v>
      </c>
    </row>
    <row r="728" spans="2:3" ht="16" x14ac:dyDescent="0.2">
      <c r="B728" s="41" t="e">
        <f>IF(H728="credit",#REF!, (#REF!* -1))</f>
        <v>#REF!</v>
      </c>
      <c r="C728" s="497" t="e">
        <f t="shared" si="9"/>
        <v>#REF!</v>
      </c>
    </row>
    <row r="729" spans="2:3" ht="16" x14ac:dyDescent="0.2">
      <c r="B729" s="41" t="e">
        <f>IF(H729="credit",#REF!, (#REF!* -1))</f>
        <v>#REF!</v>
      </c>
      <c r="C729" s="497" t="e">
        <f t="shared" si="9"/>
        <v>#REF!</v>
      </c>
    </row>
    <row r="730" spans="2:3" ht="16" x14ac:dyDescent="0.2">
      <c r="B730" s="41" t="e">
        <f>IF(H730="credit",#REF!, (#REF!* -1))</f>
        <v>#REF!</v>
      </c>
      <c r="C730" s="497" t="e">
        <f t="shared" si="9"/>
        <v>#REF!</v>
      </c>
    </row>
    <row r="731" spans="2:3" ht="16" x14ac:dyDescent="0.2">
      <c r="B731" s="41" t="e">
        <f>IF(H731="credit",#REF!, (#REF!* -1))</f>
        <v>#REF!</v>
      </c>
      <c r="C731" s="497" t="e">
        <f t="shared" si="9"/>
        <v>#REF!</v>
      </c>
    </row>
    <row r="732" spans="2:3" ht="16" x14ac:dyDescent="0.2">
      <c r="B732" s="41" t="e">
        <f>IF(H732="credit",#REF!, (#REF!* -1))</f>
        <v>#REF!</v>
      </c>
      <c r="C732" s="497" t="e">
        <f t="shared" si="9"/>
        <v>#REF!</v>
      </c>
    </row>
    <row r="733" spans="2:3" ht="16" x14ac:dyDescent="0.2">
      <c r="B733" s="41" t="e">
        <f>IF(H733="credit",#REF!, (#REF!* -1))</f>
        <v>#REF!</v>
      </c>
      <c r="C733" s="497" t="e">
        <f t="shared" si="9"/>
        <v>#REF!</v>
      </c>
    </row>
    <row r="734" spans="2:3" ht="16" x14ac:dyDescent="0.2">
      <c r="B734" s="41" t="e">
        <f>IF(H734="credit",#REF!, (#REF!* -1))</f>
        <v>#REF!</v>
      </c>
      <c r="C734" s="497" t="e">
        <f t="shared" si="9"/>
        <v>#REF!</v>
      </c>
    </row>
    <row r="735" spans="2:3" ht="16" x14ac:dyDescent="0.2">
      <c r="B735" s="41" t="e">
        <f>IF(H735="credit",#REF!, (#REF!* -1))</f>
        <v>#REF!</v>
      </c>
      <c r="C735" s="497" t="e">
        <f t="shared" si="9"/>
        <v>#REF!</v>
      </c>
    </row>
    <row r="736" spans="2:3" ht="16" x14ac:dyDescent="0.2">
      <c r="B736" s="41" t="e">
        <f>IF(H736="credit",#REF!, (#REF!* -1))</f>
        <v>#REF!</v>
      </c>
      <c r="C736" s="497" t="e">
        <f t="shared" si="9"/>
        <v>#REF!</v>
      </c>
    </row>
    <row r="737" spans="2:3" ht="16" x14ac:dyDescent="0.2">
      <c r="B737" s="41" t="e">
        <f>IF(H737="credit",#REF!, (#REF!* -1))</f>
        <v>#REF!</v>
      </c>
      <c r="C737" s="497" t="e">
        <f t="shared" si="9"/>
        <v>#REF!</v>
      </c>
    </row>
    <row r="738" spans="2:3" ht="16" x14ac:dyDescent="0.2">
      <c r="B738" s="41" t="e">
        <f>IF(H738="credit",#REF!, (#REF!* -1))</f>
        <v>#REF!</v>
      </c>
      <c r="C738" s="497" t="e">
        <f t="shared" si="9"/>
        <v>#REF!</v>
      </c>
    </row>
    <row r="739" spans="2:3" ht="16" x14ac:dyDescent="0.2">
      <c r="B739" s="41" t="e">
        <f>IF(H739="credit",#REF!, (#REF!* -1))</f>
        <v>#REF!</v>
      </c>
      <c r="C739" s="497" t="e">
        <f t="shared" si="9"/>
        <v>#REF!</v>
      </c>
    </row>
    <row r="740" spans="2:3" ht="16" x14ac:dyDescent="0.2">
      <c r="B740" s="41" t="e">
        <f>IF(H740="credit",#REF!, (#REF!* -1))</f>
        <v>#REF!</v>
      </c>
      <c r="C740" s="497" t="e">
        <f t="shared" si="9"/>
        <v>#REF!</v>
      </c>
    </row>
    <row r="741" spans="2:3" ht="16" x14ac:dyDescent="0.2">
      <c r="B741" s="41" t="e">
        <f>IF(H741="credit",#REF!, (#REF!* -1))</f>
        <v>#REF!</v>
      </c>
      <c r="C741" s="497" t="e">
        <f t="shared" si="9"/>
        <v>#REF!</v>
      </c>
    </row>
    <row r="742" spans="2:3" ht="16" x14ac:dyDescent="0.2">
      <c r="B742" s="41" t="e">
        <f>IF(H742="credit",#REF!, (#REF!* -1))</f>
        <v>#REF!</v>
      </c>
      <c r="C742" s="497" t="e">
        <f t="shared" si="9"/>
        <v>#REF!</v>
      </c>
    </row>
    <row r="743" spans="2:3" ht="16" x14ac:dyDescent="0.2">
      <c r="B743" s="41" t="e">
        <f>IF(H743="credit",#REF!, (#REF!* -1))</f>
        <v>#REF!</v>
      </c>
      <c r="C743" s="497" t="e">
        <f t="shared" si="9"/>
        <v>#REF!</v>
      </c>
    </row>
    <row r="744" spans="2:3" ht="16" x14ac:dyDescent="0.2">
      <c r="B744" s="41" t="e">
        <f>IF(H744="credit",#REF!, (#REF!* -1))</f>
        <v>#REF!</v>
      </c>
      <c r="C744" s="497" t="e">
        <f t="shared" si="9"/>
        <v>#REF!</v>
      </c>
    </row>
    <row r="745" spans="2:3" ht="16" x14ac:dyDescent="0.2">
      <c r="B745" s="41" t="e">
        <f>IF(H745="credit",#REF!, (#REF!* -1))</f>
        <v>#REF!</v>
      </c>
      <c r="C745" s="497" t="e">
        <f t="shared" si="9"/>
        <v>#REF!</v>
      </c>
    </row>
    <row r="746" spans="2:3" ht="16" x14ac:dyDescent="0.2">
      <c r="B746" s="41" t="e">
        <f>IF(H746="credit",#REF!, (#REF!* -1))</f>
        <v>#REF!</v>
      </c>
      <c r="C746" s="497" t="e">
        <f t="shared" si="9"/>
        <v>#REF!</v>
      </c>
    </row>
    <row r="747" spans="2:3" ht="16" x14ac:dyDescent="0.2">
      <c r="B747" s="41" t="e">
        <f>IF(H747="credit",#REF!, (#REF!* -1))</f>
        <v>#REF!</v>
      </c>
      <c r="C747" s="497" t="e">
        <f t="shared" si="9"/>
        <v>#REF!</v>
      </c>
    </row>
    <row r="748" spans="2:3" ht="16" x14ac:dyDescent="0.2">
      <c r="B748" s="41" t="e">
        <f>IF(H748="credit",#REF!, (#REF!* -1))</f>
        <v>#REF!</v>
      </c>
      <c r="C748" s="497" t="e">
        <f t="shared" si="9"/>
        <v>#REF!</v>
      </c>
    </row>
    <row r="749" spans="2:3" ht="16" x14ac:dyDescent="0.2">
      <c r="B749" s="41" t="e">
        <f>IF(H749="credit",#REF!, (#REF!* -1))</f>
        <v>#REF!</v>
      </c>
      <c r="C749" s="497" t="e">
        <f t="shared" si="9"/>
        <v>#REF!</v>
      </c>
    </row>
    <row r="750" spans="2:3" ht="16" x14ac:dyDescent="0.2">
      <c r="B750" s="41" t="e">
        <f>IF(H750="credit",#REF!, (#REF!* -1))</f>
        <v>#REF!</v>
      </c>
      <c r="C750" s="497" t="e">
        <f t="shared" si="9"/>
        <v>#REF!</v>
      </c>
    </row>
    <row r="751" spans="2:3" ht="16" x14ac:dyDescent="0.2">
      <c r="B751" s="41" t="e">
        <f>IF(H751="credit",#REF!, (#REF!* -1))</f>
        <v>#REF!</v>
      </c>
      <c r="C751" s="497" t="e">
        <f t="shared" si="9"/>
        <v>#REF!</v>
      </c>
    </row>
    <row r="752" spans="2:3" ht="16" x14ac:dyDescent="0.2">
      <c r="B752" s="41" t="e">
        <f>IF(H752="credit",#REF!, (#REF!* -1))</f>
        <v>#REF!</v>
      </c>
      <c r="C752" s="497" t="e">
        <f t="shared" si="9"/>
        <v>#REF!</v>
      </c>
    </row>
    <row r="753" spans="2:3" ht="16" x14ac:dyDescent="0.2">
      <c r="B753" s="41" t="e">
        <f>IF(H753="credit",#REF!, (#REF!* -1))</f>
        <v>#REF!</v>
      </c>
      <c r="C753" s="497" t="e">
        <f t="shared" si="9"/>
        <v>#REF!</v>
      </c>
    </row>
    <row r="754" spans="2:3" ht="16" x14ac:dyDescent="0.2">
      <c r="B754" s="41" t="e">
        <f>IF(H754="credit",#REF!, (#REF!* -1))</f>
        <v>#REF!</v>
      </c>
      <c r="C754" s="497" t="e">
        <f t="shared" si="9"/>
        <v>#REF!</v>
      </c>
    </row>
    <row r="755" spans="2:3" ht="16" x14ac:dyDescent="0.2">
      <c r="B755" s="41" t="e">
        <f>IF(H755="credit",#REF!, (#REF!* -1))</f>
        <v>#REF!</v>
      </c>
      <c r="C755" s="497" t="e">
        <f t="shared" si="9"/>
        <v>#REF!</v>
      </c>
    </row>
    <row r="756" spans="2:3" ht="16" x14ac:dyDescent="0.2">
      <c r="B756" s="41" t="e">
        <f>IF(H756="credit",#REF!, (#REF!* -1))</f>
        <v>#REF!</v>
      </c>
      <c r="C756" s="497" t="e">
        <f t="shared" si="9"/>
        <v>#REF!</v>
      </c>
    </row>
    <row r="757" spans="2:3" ht="16" x14ac:dyDescent="0.2">
      <c r="B757" s="41" t="e">
        <f>IF(H757="credit",#REF!, (#REF!* -1))</f>
        <v>#REF!</v>
      </c>
      <c r="C757" s="497" t="e">
        <f t="shared" si="9"/>
        <v>#REF!</v>
      </c>
    </row>
    <row r="758" spans="2:3" ht="16" x14ac:dyDescent="0.2">
      <c r="B758" s="41" t="e">
        <f>IF(H758="credit",#REF!, (#REF!* -1))</f>
        <v>#REF!</v>
      </c>
      <c r="C758" s="497" t="e">
        <f t="shared" si="9"/>
        <v>#REF!</v>
      </c>
    </row>
    <row r="759" spans="2:3" ht="16" x14ac:dyDescent="0.2">
      <c r="B759" s="41" t="e">
        <f>IF(H759="credit",#REF!, (#REF!* -1))</f>
        <v>#REF!</v>
      </c>
      <c r="C759" s="497" t="e">
        <f t="shared" si="9"/>
        <v>#REF!</v>
      </c>
    </row>
    <row r="760" spans="2:3" ht="16" x14ac:dyDescent="0.2">
      <c r="B760" s="41" t="e">
        <f>IF(H760="credit",#REF!, (#REF!* -1))</f>
        <v>#REF!</v>
      </c>
      <c r="C760" s="497" t="e">
        <f t="shared" si="9"/>
        <v>#REF!</v>
      </c>
    </row>
    <row r="761" spans="2:3" ht="16" x14ac:dyDescent="0.2">
      <c r="B761" s="41" t="e">
        <f>IF(H761="credit",#REF!, (#REF!* -1))</f>
        <v>#REF!</v>
      </c>
      <c r="C761" s="497" t="e">
        <f t="shared" si="9"/>
        <v>#REF!</v>
      </c>
    </row>
    <row r="762" spans="2:3" ht="16" x14ac:dyDescent="0.2">
      <c r="B762" s="41" t="e">
        <f>IF(H762="credit",#REF!, (#REF!* -1))</f>
        <v>#REF!</v>
      </c>
      <c r="C762" s="497" t="e">
        <f t="shared" si="9"/>
        <v>#REF!</v>
      </c>
    </row>
    <row r="763" spans="2:3" ht="16" x14ac:dyDescent="0.2">
      <c r="B763" s="41" t="e">
        <f>IF(H763="credit",#REF!, (#REF!* -1))</f>
        <v>#REF!</v>
      </c>
      <c r="C763" s="497" t="e">
        <f t="shared" si="9"/>
        <v>#REF!</v>
      </c>
    </row>
    <row r="764" spans="2:3" ht="16" x14ac:dyDescent="0.2">
      <c r="B764" s="41" t="e">
        <f>IF(H764="credit",#REF!, (#REF!* -1))</f>
        <v>#REF!</v>
      </c>
      <c r="C764" s="497" t="e">
        <f t="shared" si="9"/>
        <v>#REF!</v>
      </c>
    </row>
    <row r="765" spans="2:3" ht="16" x14ac:dyDescent="0.2">
      <c r="B765" s="41" t="e">
        <f>IF(H765="credit",#REF!, (#REF!* -1))</f>
        <v>#REF!</v>
      </c>
      <c r="C765" s="497" t="e">
        <f t="shared" si="9"/>
        <v>#REF!</v>
      </c>
    </row>
    <row r="766" spans="2:3" ht="16" x14ac:dyDescent="0.2">
      <c r="B766" s="41" t="e">
        <f>IF(H766="credit",#REF!, (#REF!* -1))</f>
        <v>#REF!</v>
      </c>
      <c r="C766" s="497" t="e">
        <f t="shared" si="9"/>
        <v>#REF!</v>
      </c>
    </row>
    <row r="767" spans="2:3" ht="16" x14ac:dyDescent="0.2">
      <c r="B767" s="41" t="e">
        <f>IF(H767="credit",#REF!, (#REF!* -1))</f>
        <v>#REF!</v>
      </c>
      <c r="C767" s="497" t="e">
        <f t="shared" si="9"/>
        <v>#REF!</v>
      </c>
    </row>
    <row r="768" spans="2:3" ht="16" x14ac:dyDescent="0.2">
      <c r="B768" s="41" t="e">
        <f>IF(H768="credit",#REF!, (#REF!* -1))</f>
        <v>#REF!</v>
      </c>
      <c r="C768" s="497" t="e">
        <f t="shared" si="9"/>
        <v>#REF!</v>
      </c>
    </row>
    <row r="769" spans="2:3" ht="16" x14ac:dyDescent="0.2">
      <c r="B769" s="41" t="e">
        <f>IF(H769="credit",#REF!, (#REF!* -1))</f>
        <v>#REF!</v>
      </c>
      <c r="C769" s="497" t="e">
        <f t="shared" si="9"/>
        <v>#REF!</v>
      </c>
    </row>
    <row r="770" spans="2:3" ht="16" x14ac:dyDescent="0.2">
      <c r="B770" s="41" t="e">
        <f>IF(H770="credit",#REF!, (#REF!* -1))</f>
        <v>#REF!</v>
      </c>
      <c r="C770" s="497" t="e">
        <f t="shared" si="9"/>
        <v>#REF!</v>
      </c>
    </row>
    <row r="771" spans="2:3" ht="16" x14ac:dyDescent="0.2">
      <c r="B771" s="41" t="e">
        <f>IF(H771="credit",#REF!, (#REF!* -1))</f>
        <v>#REF!</v>
      </c>
      <c r="C771" s="497" t="e">
        <f t="shared" si="9"/>
        <v>#REF!</v>
      </c>
    </row>
    <row r="772" spans="2:3" ht="16" x14ac:dyDescent="0.2">
      <c r="B772" s="41" t="e">
        <f>IF(H772="credit",#REF!, (#REF!* -1))</f>
        <v>#REF!</v>
      </c>
      <c r="C772" s="497" t="e">
        <f t="shared" ref="C772:C801" si="10">C771+B772</f>
        <v>#REF!</v>
      </c>
    </row>
    <row r="773" spans="2:3" ht="16" x14ac:dyDescent="0.2">
      <c r="B773" s="41" t="e">
        <f>IF(H773="credit",#REF!, (#REF!* -1))</f>
        <v>#REF!</v>
      </c>
      <c r="C773" s="497" t="e">
        <f t="shared" si="10"/>
        <v>#REF!</v>
      </c>
    </row>
    <row r="774" spans="2:3" ht="16" x14ac:dyDescent="0.2">
      <c r="B774" s="41" t="e">
        <f>IF(H774="credit",#REF!, (#REF!* -1))</f>
        <v>#REF!</v>
      </c>
      <c r="C774" s="497" t="e">
        <f t="shared" si="10"/>
        <v>#REF!</v>
      </c>
    </row>
    <row r="775" spans="2:3" ht="16" x14ac:dyDescent="0.2">
      <c r="B775" s="41" t="e">
        <f>IF(H775="credit",#REF!, (#REF!* -1))</f>
        <v>#REF!</v>
      </c>
      <c r="C775" s="497" t="e">
        <f t="shared" si="10"/>
        <v>#REF!</v>
      </c>
    </row>
    <row r="776" spans="2:3" ht="16" x14ac:dyDescent="0.2">
      <c r="B776" s="41" t="e">
        <f>IF(H776="credit",#REF!, (#REF!* -1))</f>
        <v>#REF!</v>
      </c>
      <c r="C776" s="497" t="e">
        <f t="shared" si="10"/>
        <v>#REF!</v>
      </c>
    </row>
    <row r="777" spans="2:3" ht="16" x14ac:dyDescent="0.2">
      <c r="B777" s="41" t="e">
        <f>IF(H777="credit",#REF!, (#REF!* -1))</f>
        <v>#REF!</v>
      </c>
      <c r="C777" s="497" t="e">
        <f t="shared" si="10"/>
        <v>#REF!</v>
      </c>
    </row>
    <row r="778" spans="2:3" ht="16" x14ac:dyDescent="0.2">
      <c r="B778" s="41" t="e">
        <f>IF(H778="credit",#REF!, (#REF!* -1))</f>
        <v>#REF!</v>
      </c>
      <c r="C778" s="497" t="e">
        <f t="shared" si="10"/>
        <v>#REF!</v>
      </c>
    </row>
    <row r="779" spans="2:3" ht="16" x14ac:dyDescent="0.2">
      <c r="B779" s="41" t="e">
        <f>IF(H779="credit",#REF!, (#REF!* -1))</f>
        <v>#REF!</v>
      </c>
      <c r="C779" s="497" t="e">
        <f t="shared" si="10"/>
        <v>#REF!</v>
      </c>
    </row>
    <row r="780" spans="2:3" ht="16" x14ac:dyDescent="0.2">
      <c r="B780" s="41" t="e">
        <f>IF(H780="credit",#REF!, (#REF!* -1))</f>
        <v>#REF!</v>
      </c>
      <c r="C780" s="497" t="e">
        <f t="shared" si="10"/>
        <v>#REF!</v>
      </c>
    </row>
    <row r="781" spans="2:3" ht="16" x14ac:dyDescent="0.2">
      <c r="B781" s="41" t="e">
        <f>IF(H781="credit",#REF!, (#REF!* -1))</f>
        <v>#REF!</v>
      </c>
      <c r="C781" s="497" t="e">
        <f t="shared" si="10"/>
        <v>#REF!</v>
      </c>
    </row>
    <row r="782" spans="2:3" ht="16" x14ac:dyDescent="0.2">
      <c r="B782" s="41" t="e">
        <f>IF(H782="credit",#REF!, (#REF!* -1))</f>
        <v>#REF!</v>
      </c>
      <c r="C782" s="497" t="e">
        <f t="shared" si="10"/>
        <v>#REF!</v>
      </c>
    </row>
    <row r="783" spans="2:3" ht="16" x14ac:dyDescent="0.2">
      <c r="B783" s="41" t="e">
        <f>IF(H783="credit",#REF!, (#REF!* -1))</f>
        <v>#REF!</v>
      </c>
      <c r="C783" s="497" t="e">
        <f t="shared" si="10"/>
        <v>#REF!</v>
      </c>
    </row>
    <row r="784" spans="2:3" ht="16" x14ac:dyDescent="0.2">
      <c r="B784" s="41" t="e">
        <f>IF(H784="credit",#REF!, (#REF!* -1))</f>
        <v>#REF!</v>
      </c>
      <c r="C784" s="497" t="e">
        <f t="shared" si="10"/>
        <v>#REF!</v>
      </c>
    </row>
    <row r="785" spans="2:3" ht="16" x14ac:dyDescent="0.2">
      <c r="B785" s="41" t="e">
        <f>IF(H785="credit",#REF!, (#REF!* -1))</f>
        <v>#REF!</v>
      </c>
      <c r="C785" s="497" t="e">
        <f t="shared" si="10"/>
        <v>#REF!</v>
      </c>
    </row>
    <row r="786" spans="2:3" ht="16" x14ac:dyDescent="0.2">
      <c r="B786" s="41" t="e">
        <f>IF(H786="credit",#REF!, (#REF!* -1))</f>
        <v>#REF!</v>
      </c>
      <c r="C786" s="497" t="e">
        <f t="shared" si="10"/>
        <v>#REF!</v>
      </c>
    </row>
    <row r="787" spans="2:3" ht="16" x14ac:dyDescent="0.2">
      <c r="B787" s="41" t="e">
        <f>IF(H787="credit",#REF!, (#REF!* -1))</f>
        <v>#REF!</v>
      </c>
      <c r="C787" s="497" t="e">
        <f t="shared" si="10"/>
        <v>#REF!</v>
      </c>
    </row>
    <row r="788" spans="2:3" ht="16" x14ac:dyDescent="0.2">
      <c r="B788" s="41" t="e">
        <f>IF(H788="credit",#REF!, (#REF!* -1))</f>
        <v>#REF!</v>
      </c>
      <c r="C788" s="497" t="e">
        <f t="shared" si="10"/>
        <v>#REF!</v>
      </c>
    </row>
    <row r="789" spans="2:3" ht="16" x14ac:dyDescent="0.2">
      <c r="B789" s="41" t="e">
        <f>IF(H789="credit",#REF!, (#REF!* -1))</f>
        <v>#REF!</v>
      </c>
      <c r="C789" s="497" t="e">
        <f t="shared" si="10"/>
        <v>#REF!</v>
      </c>
    </row>
    <row r="790" spans="2:3" ht="16" x14ac:dyDescent="0.2">
      <c r="B790" s="41" t="e">
        <f>IF(H790="credit",#REF!, (#REF!* -1))</f>
        <v>#REF!</v>
      </c>
      <c r="C790" s="497" t="e">
        <f t="shared" si="10"/>
        <v>#REF!</v>
      </c>
    </row>
    <row r="791" spans="2:3" ht="16" x14ac:dyDescent="0.2">
      <c r="B791" s="41" t="e">
        <f>IF(H791="credit",#REF!, (#REF!* -1))</f>
        <v>#REF!</v>
      </c>
      <c r="C791" s="497" t="e">
        <f t="shared" si="10"/>
        <v>#REF!</v>
      </c>
    </row>
    <row r="792" spans="2:3" ht="16" x14ac:dyDescent="0.2">
      <c r="B792" s="41" t="e">
        <f>IF(H792="credit",#REF!, (#REF!* -1))</f>
        <v>#REF!</v>
      </c>
      <c r="C792" s="497" t="e">
        <f t="shared" si="10"/>
        <v>#REF!</v>
      </c>
    </row>
    <row r="793" spans="2:3" ht="16" x14ac:dyDescent="0.2">
      <c r="B793" s="41" t="e">
        <f>IF(H793="credit",#REF!, (#REF!* -1))</f>
        <v>#REF!</v>
      </c>
      <c r="C793" s="497" t="e">
        <f t="shared" si="10"/>
        <v>#REF!</v>
      </c>
    </row>
    <row r="794" spans="2:3" ht="16" x14ac:dyDescent="0.2">
      <c r="B794" s="41" t="e">
        <f>IF(H794="credit",#REF!, (#REF!* -1))</f>
        <v>#REF!</v>
      </c>
      <c r="C794" s="497" t="e">
        <f t="shared" si="10"/>
        <v>#REF!</v>
      </c>
    </row>
    <row r="795" spans="2:3" ht="16" x14ac:dyDescent="0.2">
      <c r="B795" s="41" t="e">
        <f>IF(H795="credit",#REF!, (#REF!* -1))</f>
        <v>#REF!</v>
      </c>
      <c r="C795" s="497" t="e">
        <f t="shared" si="10"/>
        <v>#REF!</v>
      </c>
    </row>
    <row r="796" spans="2:3" ht="16" x14ac:dyDescent="0.2">
      <c r="B796" s="41" t="e">
        <f>IF(H796="credit",#REF!, (#REF!* -1))</f>
        <v>#REF!</v>
      </c>
      <c r="C796" s="497" t="e">
        <f t="shared" si="10"/>
        <v>#REF!</v>
      </c>
    </row>
    <row r="797" spans="2:3" ht="16" x14ac:dyDescent="0.2">
      <c r="B797" s="41" t="e">
        <f>IF(H797="credit",#REF!, (#REF!* -1))</f>
        <v>#REF!</v>
      </c>
      <c r="C797" s="497" t="e">
        <f t="shared" si="10"/>
        <v>#REF!</v>
      </c>
    </row>
    <row r="798" spans="2:3" ht="16" x14ac:dyDescent="0.2">
      <c r="B798" s="41" t="e">
        <f>IF(H798="credit",#REF!, (#REF!* -1))</f>
        <v>#REF!</v>
      </c>
      <c r="C798" s="497" t="e">
        <f t="shared" si="10"/>
        <v>#REF!</v>
      </c>
    </row>
    <row r="799" spans="2:3" ht="16" x14ac:dyDescent="0.2">
      <c r="B799" s="41" t="e">
        <f>IF(H799="credit",#REF!, (#REF!* -1))</f>
        <v>#REF!</v>
      </c>
      <c r="C799" s="497" t="e">
        <f t="shared" si="10"/>
        <v>#REF!</v>
      </c>
    </row>
    <row r="800" spans="2:3" ht="16" x14ac:dyDescent="0.2">
      <c r="B800" s="41" t="e">
        <f>IF(H800="credit",#REF!, (#REF!* -1))</f>
        <v>#REF!</v>
      </c>
      <c r="C800" s="497" t="e">
        <f t="shared" si="10"/>
        <v>#REF!</v>
      </c>
    </row>
    <row r="801" spans="2:3" ht="16" x14ac:dyDescent="0.2">
      <c r="B801" s="41" t="e">
        <f>IF(H801="credit",#REF!, (#REF!* -1))</f>
        <v>#REF!</v>
      </c>
      <c r="C801" s="497" t="e">
        <f t="shared" si="10"/>
        <v>#REF!</v>
      </c>
    </row>
  </sheetData>
  <autoFilter ref="A1:K437" xr:uid="{00000000-0009-0000-0000-000001000000}">
    <sortState xmlns:xlrd2="http://schemas.microsoft.com/office/spreadsheetml/2017/richdata2" ref="A2:K437">
      <sortCondition ref="E1:E437"/>
    </sortState>
  </autoFilter>
  <conditionalFormatting sqref="B1:D1 B4:B801 B802:D1048576">
    <cfRule type="cellIs" dxfId="120" priority="3" operator="lessThan">
      <formula>0</formula>
    </cfRule>
  </conditionalFormatting>
  <conditionalFormatting sqref="D3:D801">
    <cfRule type="cellIs" dxfId="119" priority="1" operator="lessThan">
      <formula>0</formula>
    </cfRule>
  </conditionalFormatting>
  <dataValidations count="1">
    <dataValidation type="list" allowBlank="1" showInputMessage="1" showErrorMessage="1" sqref="A554:A1048576" xr:uid="{48033DE5-F979-4A31-BD87-D89010B4421A}">
      <formula1>$A$6:$A$253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18C1F44-C905-4258-BC29-0753EED43108}">
          <x14:formula1>
            <xm:f>Kostensoorts!$A$10:$A$297</xm:f>
          </x14:formula1>
          <xm:sqref>A1:A2</xm:sqref>
        </x14:dataValidation>
        <x14:dataValidation type="list" allowBlank="1" showInputMessage="1" showErrorMessage="1" xr:uid="{F0A28095-35F2-41A4-AB22-B522CBD501ED}">
          <x14:formula1>
            <xm:f>Kostensoorts!$A$3:$A$336</xm:f>
          </x14:formula1>
          <xm:sqref>A107 A3 A58:A61 A104 A67:A77 A92:A99 A63 A65 A82:A84 A79 A6:A52 A89 A111:A553</xm:sqref>
        </x14:dataValidation>
        <x14:dataValidation type="list" allowBlank="1" showInputMessage="1" showErrorMessage="1" xr:uid="{1745C4C5-4A63-44BE-989A-3C1C3F3459C7}">
          <x14:formula1>
            <xm:f>Kostensoorts!$A$3:$A$1069</xm:f>
          </x14:formula1>
          <xm:sqref>A105:A106 A4:A5 A108:A110 A100:A103 A90:A91 A64 A85:A88 A80:A81 A78 A66 A62 A53:A57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BO2991"/>
  <sheetViews>
    <sheetView tabSelected="1" zoomScale="85" zoomScaleNormal="173" zoomScalePageLayoutView="173" workbookViewId="0">
      <pane ySplit="1" topLeftCell="A2" activePane="bottomLeft" state="frozen"/>
      <selection pane="bottomLeft" activeCell="W21" sqref="W21"/>
    </sheetView>
  </sheetViews>
  <sheetFormatPr baseColWidth="10" defaultColWidth="10.83203125" defaultRowHeight="15" outlineLevelCol="1" x14ac:dyDescent="0.2"/>
  <cols>
    <col min="1" max="1" width="30.33203125" customWidth="1"/>
    <col min="2" max="2" width="10.83203125" style="141" customWidth="1" outlineLevel="1"/>
    <col min="3" max="3" width="14.5" customWidth="1" outlineLevel="1"/>
    <col min="4" max="4" width="12.6640625" customWidth="1" outlineLevel="1"/>
    <col min="5" max="5" width="11.5" style="139" customWidth="1"/>
    <col min="6" max="6" width="28.83203125" bestFit="1" customWidth="1"/>
    <col min="7" max="7" width="24" hidden="1" customWidth="1" outlineLevel="1"/>
    <col min="8" max="8" width="5.83203125" hidden="1" customWidth="1" outlineLevel="1"/>
    <col min="9" max="9" width="9" customWidth="1" collapsed="1"/>
    <col min="10" max="10" width="11" customWidth="1"/>
    <col min="11" max="11" width="12" style="141" bestFit="1" customWidth="1"/>
    <col min="12" max="12" width="10.33203125" style="135" bestFit="1" customWidth="1"/>
    <col min="13" max="13" width="35.33203125" hidden="1" customWidth="1" outlineLevel="1"/>
    <col min="14" max="14" width="13.5" hidden="1" customWidth="1" outlineLevel="1"/>
    <col min="15" max="15" width="34.6640625" hidden="1" customWidth="1" outlineLevel="1"/>
    <col min="16" max="16" width="35.33203125" bestFit="1" customWidth="1" collapsed="1"/>
  </cols>
  <sheetData>
    <row r="1" spans="1:17" s="35" customFormat="1" x14ac:dyDescent="0.2">
      <c r="A1" s="286" t="s">
        <v>1084</v>
      </c>
      <c r="B1" s="287" t="s">
        <v>349</v>
      </c>
      <c r="C1" s="288" t="s">
        <v>1085</v>
      </c>
      <c r="D1" s="289" t="s">
        <v>1086</v>
      </c>
      <c r="E1" s="290" t="s">
        <v>1087</v>
      </c>
      <c r="F1" s="286" t="s">
        <v>1088</v>
      </c>
      <c r="G1" s="291" t="s">
        <v>1089</v>
      </c>
      <c r="H1" s="288" t="s">
        <v>1090</v>
      </c>
      <c r="I1" s="289" t="s">
        <v>1091</v>
      </c>
      <c r="J1" s="290" t="s">
        <v>1092</v>
      </c>
      <c r="K1" s="292" t="s">
        <v>1093</v>
      </c>
      <c r="L1" s="293" t="s">
        <v>1094</v>
      </c>
      <c r="M1" s="294" t="s">
        <v>1095</v>
      </c>
      <c r="N1" s="294" t="s">
        <v>1096</v>
      </c>
      <c r="O1" s="294" t="s">
        <v>1097</v>
      </c>
      <c r="P1" s="288" t="s">
        <v>1098</v>
      </c>
    </row>
    <row r="2" spans="1:17" x14ac:dyDescent="0.2">
      <c r="A2" t="s">
        <v>212</v>
      </c>
      <c r="B2" s="141">
        <f>_xlfn.NUMBERVALUE(L2)*0.01</f>
        <v>6.08</v>
      </c>
      <c r="C2" s="280">
        <v>45582</v>
      </c>
      <c r="D2" s="279">
        <v>45583</v>
      </c>
      <c r="E2" s="279">
        <v>45584</v>
      </c>
      <c r="F2" s="132"/>
      <c r="G2" s="132" t="s">
        <v>1099</v>
      </c>
      <c r="H2" s="132" t="s">
        <v>373</v>
      </c>
      <c r="I2" s="132" t="s">
        <v>1100</v>
      </c>
      <c r="J2" s="132" t="s">
        <v>1101</v>
      </c>
      <c r="K2" s="132" t="s">
        <v>1102</v>
      </c>
      <c r="L2" s="132" t="s">
        <v>1103</v>
      </c>
      <c r="M2" s="132" t="s">
        <v>1104</v>
      </c>
      <c r="N2" s="132" t="s">
        <v>1105</v>
      </c>
      <c r="O2" s="132" t="s">
        <v>1106</v>
      </c>
      <c r="P2" s="132" t="s">
        <v>1107</v>
      </c>
      <c r="Q2" s="132" t="s">
        <v>1108</v>
      </c>
    </row>
    <row r="3" spans="1:17" x14ac:dyDescent="0.2">
      <c r="A3" t="s">
        <v>212</v>
      </c>
      <c r="B3" s="141">
        <f t="shared" ref="B3:B66" si="0">_xlfn.NUMBERVALUE(L3)*0.01</f>
        <v>6.04</v>
      </c>
      <c r="C3" s="280">
        <v>45582</v>
      </c>
      <c r="D3" s="279">
        <v>45583</v>
      </c>
      <c r="E3" s="279">
        <v>45584</v>
      </c>
      <c r="F3" s="132"/>
      <c r="G3" s="132" t="s">
        <v>1108</v>
      </c>
      <c r="H3" s="132" t="s">
        <v>373</v>
      </c>
      <c r="I3" s="132" t="s">
        <v>1100</v>
      </c>
      <c r="J3" s="132" t="s">
        <v>1101</v>
      </c>
      <c r="K3" s="132" t="s">
        <v>1109</v>
      </c>
      <c r="L3" s="132" t="s">
        <v>1110</v>
      </c>
      <c r="M3" s="132" t="s">
        <v>1111</v>
      </c>
      <c r="N3" s="132" t="s">
        <v>1112</v>
      </c>
      <c r="O3" s="132" t="s">
        <v>1113</v>
      </c>
      <c r="P3" s="132" t="s">
        <v>1107</v>
      </c>
      <c r="Q3" s="132" t="s">
        <v>1108</v>
      </c>
    </row>
    <row r="4" spans="1:17" x14ac:dyDescent="0.2">
      <c r="A4" t="s">
        <v>212</v>
      </c>
      <c r="B4" s="141">
        <f t="shared" si="0"/>
        <v>6.04</v>
      </c>
      <c r="C4" s="280">
        <v>45582</v>
      </c>
      <c r="D4" s="279">
        <v>45583</v>
      </c>
      <c r="E4" s="279">
        <v>45584</v>
      </c>
      <c r="F4" s="132"/>
      <c r="G4" s="132" t="s">
        <v>1108</v>
      </c>
      <c r="H4" s="132" t="s">
        <v>373</v>
      </c>
      <c r="I4" s="132" t="s">
        <v>1100</v>
      </c>
      <c r="J4" s="132" t="s">
        <v>1101</v>
      </c>
      <c r="K4" s="132" t="s">
        <v>1109</v>
      </c>
      <c r="L4" s="132" t="s">
        <v>1110</v>
      </c>
      <c r="M4" s="132" t="s">
        <v>1114</v>
      </c>
      <c r="N4" s="132" t="s">
        <v>1112</v>
      </c>
      <c r="O4" s="132" t="s">
        <v>1115</v>
      </c>
      <c r="P4" s="132" t="s">
        <v>1107</v>
      </c>
      <c r="Q4" s="132" t="s">
        <v>1108</v>
      </c>
    </row>
    <row r="5" spans="1:17" x14ac:dyDescent="0.2">
      <c r="A5" t="s">
        <v>212</v>
      </c>
      <c r="B5" s="141">
        <f t="shared" si="0"/>
        <v>6.08</v>
      </c>
      <c r="C5" s="280">
        <v>45582</v>
      </c>
      <c r="D5" s="279">
        <v>45583</v>
      </c>
      <c r="E5" s="279">
        <v>45584</v>
      </c>
      <c r="F5" s="132"/>
      <c r="G5" s="132" t="s">
        <v>1108</v>
      </c>
      <c r="H5" s="132" t="s">
        <v>373</v>
      </c>
      <c r="I5" s="132" t="s">
        <v>1100</v>
      </c>
      <c r="J5" s="132" t="s">
        <v>1101</v>
      </c>
      <c r="K5" s="132" t="s">
        <v>1102</v>
      </c>
      <c r="L5" s="132" t="s">
        <v>1103</v>
      </c>
      <c r="M5" s="132" t="s">
        <v>1116</v>
      </c>
      <c r="N5" s="132" t="s">
        <v>1117</v>
      </c>
      <c r="O5" s="132" t="s">
        <v>1118</v>
      </c>
      <c r="P5" s="132" t="s">
        <v>1107</v>
      </c>
      <c r="Q5" s="132" t="s">
        <v>1108</v>
      </c>
    </row>
    <row r="6" spans="1:17" x14ac:dyDescent="0.2">
      <c r="A6" t="s">
        <v>212</v>
      </c>
      <c r="B6" s="141">
        <f t="shared" si="0"/>
        <v>6.04</v>
      </c>
      <c r="C6" s="280">
        <v>45582</v>
      </c>
      <c r="D6" s="279">
        <v>45583</v>
      </c>
      <c r="E6" s="279">
        <v>45584</v>
      </c>
      <c r="F6" s="132"/>
      <c r="G6" s="132" t="s">
        <v>1108</v>
      </c>
      <c r="H6" s="132" t="s">
        <v>373</v>
      </c>
      <c r="I6" s="132" t="s">
        <v>1100</v>
      </c>
      <c r="J6" s="132" t="s">
        <v>1101</v>
      </c>
      <c r="K6" s="132" t="s">
        <v>1109</v>
      </c>
      <c r="L6" s="132" t="s">
        <v>1110</v>
      </c>
      <c r="M6" s="281" t="s">
        <v>1119</v>
      </c>
      <c r="N6" s="132" t="s">
        <v>1112</v>
      </c>
      <c r="O6" s="132" t="s">
        <v>1120</v>
      </c>
      <c r="P6" s="132" t="s">
        <v>1107</v>
      </c>
      <c r="Q6" s="132" t="s">
        <v>1108</v>
      </c>
    </row>
    <row r="7" spans="1:17" x14ac:dyDescent="0.2">
      <c r="A7" t="s">
        <v>212</v>
      </c>
      <c r="B7" s="141">
        <f t="shared" si="0"/>
        <v>6.04</v>
      </c>
      <c r="C7" s="280">
        <v>45582</v>
      </c>
      <c r="D7" s="279">
        <v>45583</v>
      </c>
      <c r="E7" s="279">
        <v>45584</v>
      </c>
      <c r="F7" s="132"/>
      <c r="G7" s="132" t="s">
        <v>1108</v>
      </c>
      <c r="H7" s="132" t="s">
        <v>373</v>
      </c>
      <c r="I7" s="132" t="s">
        <v>1100</v>
      </c>
      <c r="J7" s="132" t="s">
        <v>1101</v>
      </c>
      <c r="K7" s="132" t="s">
        <v>1109</v>
      </c>
      <c r="L7" s="132" t="s">
        <v>1110</v>
      </c>
      <c r="M7" s="132" t="s">
        <v>1122</v>
      </c>
      <c r="N7" s="132" t="s">
        <v>1112</v>
      </c>
      <c r="O7" s="132" t="s">
        <v>1123</v>
      </c>
      <c r="P7" s="132" t="s">
        <v>1107</v>
      </c>
      <c r="Q7" s="132" t="s">
        <v>1108</v>
      </c>
    </row>
    <row r="8" spans="1:17" x14ac:dyDescent="0.2">
      <c r="A8" t="s">
        <v>212</v>
      </c>
      <c r="B8" s="141">
        <f t="shared" si="0"/>
        <v>6.08</v>
      </c>
      <c r="C8" s="280">
        <v>45582</v>
      </c>
      <c r="D8" s="279">
        <v>45583</v>
      </c>
      <c r="E8" s="279">
        <v>45584</v>
      </c>
      <c r="F8" s="132"/>
      <c r="G8" s="132" t="s">
        <v>1108</v>
      </c>
      <c r="H8" s="132" t="s">
        <v>373</v>
      </c>
      <c r="I8" s="132" t="s">
        <v>1100</v>
      </c>
      <c r="J8" s="132" t="s">
        <v>1101</v>
      </c>
      <c r="K8" s="132" t="s">
        <v>1102</v>
      </c>
      <c r="L8" s="132" t="s">
        <v>1103</v>
      </c>
      <c r="M8" s="132" t="s">
        <v>1124</v>
      </c>
      <c r="N8" s="132" t="s">
        <v>1117</v>
      </c>
      <c r="O8" s="132" t="s">
        <v>1125</v>
      </c>
      <c r="P8" s="132" t="s">
        <v>1107</v>
      </c>
      <c r="Q8" s="132" t="s">
        <v>1108</v>
      </c>
    </row>
    <row r="9" spans="1:17" x14ac:dyDescent="0.2">
      <c r="A9" t="s">
        <v>212</v>
      </c>
      <c r="B9" s="141">
        <f t="shared" si="0"/>
        <v>6.04</v>
      </c>
      <c r="C9" s="280">
        <v>45582</v>
      </c>
      <c r="D9" s="279">
        <v>45583</v>
      </c>
      <c r="E9" s="279">
        <v>45584</v>
      </c>
      <c r="F9" s="132"/>
      <c r="G9" s="132" t="s">
        <v>1108</v>
      </c>
      <c r="H9" s="132" t="s">
        <v>373</v>
      </c>
      <c r="I9" s="132" t="s">
        <v>1100</v>
      </c>
      <c r="J9" s="132" t="s">
        <v>1101</v>
      </c>
      <c r="K9" s="132" t="s">
        <v>1109</v>
      </c>
      <c r="L9" s="132" t="s">
        <v>1110</v>
      </c>
      <c r="M9" s="132" t="s">
        <v>1126</v>
      </c>
      <c r="N9" s="132" t="s">
        <v>1112</v>
      </c>
      <c r="O9" s="132" t="s">
        <v>1127</v>
      </c>
      <c r="P9" s="132" t="s">
        <v>1107</v>
      </c>
      <c r="Q9" s="132" t="s">
        <v>1108</v>
      </c>
    </row>
    <row r="10" spans="1:17" x14ac:dyDescent="0.2">
      <c r="A10" t="s">
        <v>212</v>
      </c>
      <c r="B10" s="141">
        <f t="shared" si="0"/>
        <v>6.08</v>
      </c>
      <c r="C10" s="280">
        <v>45582</v>
      </c>
      <c r="D10" s="279">
        <v>45583</v>
      </c>
      <c r="E10" s="279">
        <v>45584</v>
      </c>
      <c r="F10" s="132"/>
      <c r="G10" s="132" t="s">
        <v>1108</v>
      </c>
      <c r="H10" s="132" t="s">
        <v>373</v>
      </c>
      <c r="I10" s="132" t="s">
        <v>1100</v>
      </c>
      <c r="J10" s="132" t="s">
        <v>1101</v>
      </c>
      <c r="K10" s="132" t="s">
        <v>1102</v>
      </c>
      <c r="L10" s="132" t="s">
        <v>1103</v>
      </c>
      <c r="M10" s="132" t="s">
        <v>1128</v>
      </c>
      <c r="N10" s="132" t="s">
        <v>1117</v>
      </c>
      <c r="O10" s="132" t="s">
        <v>1129</v>
      </c>
      <c r="P10" s="132" t="s">
        <v>1107</v>
      </c>
      <c r="Q10" s="132" t="s">
        <v>1108</v>
      </c>
    </row>
    <row r="11" spans="1:17" x14ac:dyDescent="0.2">
      <c r="A11" t="s">
        <v>212</v>
      </c>
      <c r="B11" s="141">
        <f t="shared" si="0"/>
        <v>6.04</v>
      </c>
      <c r="C11" s="280">
        <v>45582</v>
      </c>
      <c r="D11" s="279">
        <v>45583</v>
      </c>
      <c r="E11" s="279">
        <v>45584</v>
      </c>
      <c r="F11" s="132"/>
      <c r="G11" s="132" t="s">
        <v>1108</v>
      </c>
      <c r="H11" s="132" t="s">
        <v>373</v>
      </c>
      <c r="I11" s="132" t="s">
        <v>1100</v>
      </c>
      <c r="J11" s="132" t="s">
        <v>1101</v>
      </c>
      <c r="K11" s="132" t="s">
        <v>1109</v>
      </c>
      <c r="L11" s="132" t="s">
        <v>1110</v>
      </c>
      <c r="M11" s="132" t="s">
        <v>1130</v>
      </c>
      <c r="N11" s="132" t="s">
        <v>1112</v>
      </c>
      <c r="O11" s="132" t="s">
        <v>1131</v>
      </c>
      <c r="P11" s="132" t="s">
        <v>1107</v>
      </c>
      <c r="Q11" s="132" t="s">
        <v>1108</v>
      </c>
    </row>
    <row r="12" spans="1:17" x14ac:dyDescent="0.2">
      <c r="A12" t="s">
        <v>212</v>
      </c>
      <c r="B12" s="141">
        <f t="shared" si="0"/>
        <v>6.04</v>
      </c>
      <c r="C12" s="280">
        <v>45582</v>
      </c>
      <c r="D12" s="279">
        <v>45583</v>
      </c>
      <c r="E12" s="279">
        <v>45584</v>
      </c>
      <c r="F12" s="132"/>
      <c r="G12" s="132" t="s">
        <v>1108</v>
      </c>
      <c r="H12" s="132" t="s">
        <v>373</v>
      </c>
      <c r="I12" s="132" t="s">
        <v>1100</v>
      </c>
      <c r="J12" s="132" t="s">
        <v>1101</v>
      </c>
      <c r="K12" s="132" t="s">
        <v>1109</v>
      </c>
      <c r="L12" s="132" t="s">
        <v>1110</v>
      </c>
      <c r="M12" s="132" t="s">
        <v>1132</v>
      </c>
      <c r="N12" s="132" t="s">
        <v>1112</v>
      </c>
      <c r="O12" s="132" t="s">
        <v>1133</v>
      </c>
      <c r="P12" s="132" t="s">
        <v>1107</v>
      </c>
      <c r="Q12" s="132" t="s">
        <v>1108</v>
      </c>
    </row>
    <row r="13" spans="1:17" x14ac:dyDescent="0.2">
      <c r="A13" t="s">
        <v>212</v>
      </c>
      <c r="B13" s="141">
        <f t="shared" si="0"/>
        <v>6.04</v>
      </c>
      <c r="C13" s="280">
        <v>45582</v>
      </c>
      <c r="D13" s="279">
        <v>45583</v>
      </c>
      <c r="E13" s="279">
        <v>45584</v>
      </c>
      <c r="F13" s="132"/>
      <c r="G13" s="132" t="s">
        <v>1108</v>
      </c>
      <c r="H13" s="132" t="s">
        <v>373</v>
      </c>
      <c r="I13" s="132" t="s">
        <v>1100</v>
      </c>
      <c r="J13" s="132" t="s">
        <v>1101</v>
      </c>
      <c r="K13" s="132" t="s">
        <v>1109</v>
      </c>
      <c r="L13" s="132" t="s">
        <v>1110</v>
      </c>
      <c r="M13" s="132" t="s">
        <v>1134</v>
      </c>
      <c r="N13" s="132" t="s">
        <v>1112</v>
      </c>
      <c r="O13" s="132" t="s">
        <v>1135</v>
      </c>
      <c r="P13" s="132" t="s">
        <v>1107</v>
      </c>
      <c r="Q13" s="132" t="s">
        <v>1108</v>
      </c>
    </row>
    <row r="14" spans="1:17" x14ac:dyDescent="0.2">
      <c r="A14" t="s">
        <v>212</v>
      </c>
      <c r="B14" s="141">
        <f t="shared" si="0"/>
        <v>6.04</v>
      </c>
      <c r="C14" s="280">
        <v>45582</v>
      </c>
      <c r="D14" s="279">
        <v>45583</v>
      </c>
      <c r="E14" s="279">
        <v>45584</v>
      </c>
      <c r="F14" s="132"/>
      <c r="G14" s="132" t="s">
        <v>1108</v>
      </c>
      <c r="H14" s="132" t="s">
        <v>373</v>
      </c>
      <c r="I14" s="132" t="s">
        <v>1100</v>
      </c>
      <c r="J14" s="132" t="s">
        <v>1101</v>
      </c>
      <c r="K14" s="132" t="s">
        <v>1109</v>
      </c>
      <c r="L14" s="132" t="s">
        <v>1110</v>
      </c>
      <c r="M14" s="132" t="s">
        <v>1136</v>
      </c>
      <c r="N14" s="132" t="s">
        <v>1112</v>
      </c>
      <c r="O14" s="132" t="s">
        <v>1137</v>
      </c>
      <c r="P14" s="132" t="s">
        <v>1107</v>
      </c>
      <c r="Q14" s="132" t="s">
        <v>1108</v>
      </c>
    </row>
    <row r="15" spans="1:17" x14ac:dyDescent="0.2">
      <c r="A15" t="s">
        <v>212</v>
      </c>
      <c r="B15" s="141">
        <f t="shared" si="0"/>
        <v>6.08</v>
      </c>
      <c r="C15" s="280">
        <v>45582</v>
      </c>
      <c r="D15" s="279">
        <v>45583</v>
      </c>
      <c r="E15" s="279">
        <v>45584</v>
      </c>
      <c r="F15" s="132"/>
      <c r="G15" s="132" t="s">
        <v>1108</v>
      </c>
      <c r="H15" s="132" t="s">
        <v>373</v>
      </c>
      <c r="I15" s="132" t="s">
        <v>1100</v>
      </c>
      <c r="J15" s="132" t="s">
        <v>1101</v>
      </c>
      <c r="K15" s="132" t="s">
        <v>1102</v>
      </c>
      <c r="L15" s="132" t="s">
        <v>1103</v>
      </c>
      <c r="M15" s="132" t="s">
        <v>1138</v>
      </c>
      <c r="N15" s="132" t="s">
        <v>1117</v>
      </c>
      <c r="O15" s="132" t="s">
        <v>1139</v>
      </c>
      <c r="P15" s="132" t="s">
        <v>1107</v>
      </c>
      <c r="Q15" s="132" t="s">
        <v>1108</v>
      </c>
    </row>
    <row r="16" spans="1:17" x14ac:dyDescent="0.2">
      <c r="A16" t="s">
        <v>212</v>
      </c>
      <c r="B16" s="141">
        <f t="shared" si="0"/>
        <v>6.04</v>
      </c>
      <c r="C16" s="280">
        <v>45582</v>
      </c>
      <c r="D16" s="279">
        <v>45583</v>
      </c>
      <c r="E16" s="279">
        <v>45584</v>
      </c>
      <c r="F16" s="132"/>
      <c r="G16" s="132" t="s">
        <v>1108</v>
      </c>
      <c r="H16" s="132" t="s">
        <v>373</v>
      </c>
      <c r="I16" s="132" t="s">
        <v>1100</v>
      </c>
      <c r="J16" s="132" t="s">
        <v>1101</v>
      </c>
      <c r="K16" s="132" t="s">
        <v>1109</v>
      </c>
      <c r="L16" s="132" t="s">
        <v>1110</v>
      </c>
      <c r="M16" s="132" t="s">
        <v>1140</v>
      </c>
      <c r="N16" s="132" t="s">
        <v>1112</v>
      </c>
      <c r="O16" s="132" t="s">
        <v>1141</v>
      </c>
      <c r="P16" s="132" t="s">
        <v>1107</v>
      </c>
      <c r="Q16" s="132" t="s">
        <v>1108</v>
      </c>
    </row>
    <row r="17" spans="1:17" x14ac:dyDescent="0.2">
      <c r="A17" t="s">
        <v>212</v>
      </c>
      <c r="B17" s="141">
        <f t="shared" si="0"/>
        <v>6.04</v>
      </c>
      <c r="C17" s="280">
        <v>45582</v>
      </c>
      <c r="D17" s="279">
        <v>45583</v>
      </c>
      <c r="E17" s="279">
        <v>45584</v>
      </c>
      <c r="F17" s="132"/>
      <c r="G17" s="132" t="s">
        <v>1108</v>
      </c>
      <c r="H17" s="132" t="s">
        <v>373</v>
      </c>
      <c r="I17" s="132" t="s">
        <v>1100</v>
      </c>
      <c r="J17" s="132" t="s">
        <v>1101</v>
      </c>
      <c r="K17" s="132" t="s">
        <v>1109</v>
      </c>
      <c r="L17" s="132" t="s">
        <v>1110</v>
      </c>
      <c r="M17" s="132" t="s">
        <v>1142</v>
      </c>
      <c r="N17" s="132" t="s">
        <v>1112</v>
      </c>
      <c r="O17" s="132" t="s">
        <v>1143</v>
      </c>
      <c r="P17" s="132" t="s">
        <v>1107</v>
      </c>
      <c r="Q17" s="132" t="s">
        <v>1108</v>
      </c>
    </row>
    <row r="18" spans="1:17" x14ac:dyDescent="0.2">
      <c r="A18" t="s">
        <v>212</v>
      </c>
      <c r="B18" s="141">
        <f t="shared" si="0"/>
        <v>6.04</v>
      </c>
      <c r="C18" s="280">
        <v>45582</v>
      </c>
      <c r="D18" s="279">
        <v>45583</v>
      </c>
      <c r="E18" s="279">
        <v>45584</v>
      </c>
      <c r="F18" s="132"/>
      <c r="G18" s="132" t="s">
        <v>1108</v>
      </c>
      <c r="H18" s="132" t="s">
        <v>373</v>
      </c>
      <c r="I18" s="132" t="s">
        <v>1100</v>
      </c>
      <c r="J18" s="132" t="s">
        <v>1101</v>
      </c>
      <c r="K18" s="132" t="s">
        <v>1109</v>
      </c>
      <c r="L18" s="132" t="s">
        <v>1110</v>
      </c>
      <c r="M18" s="132" t="s">
        <v>1144</v>
      </c>
      <c r="N18" s="132" t="s">
        <v>1112</v>
      </c>
      <c r="O18" s="132" t="s">
        <v>1145</v>
      </c>
      <c r="P18" s="132" t="s">
        <v>1107</v>
      </c>
      <c r="Q18" s="132" t="s">
        <v>1108</v>
      </c>
    </row>
    <row r="19" spans="1:17" x14ac:dyDescent="0.2">
      <c r="A19" t="s">
        <v>212</v>
      </c>
      <c r="B19" s="141">
        <f t="shared" si="0"/>
        <v>6.04</v>
      </c>
      <c r="C19" s="280">
        <v>45582</v>
      </c>
      <c r="D19" s="279">
        <v>45583</v>
      </c>
      <c r="E19" s="279">
        <v>45584</v>
      </c>
      <c r="F19" s="132"/>
      <c r="G19" s="132" t="s">
        <v>1108</v>
      </c>
      <c r="H19" s="132" t="s">
        <v>373</v>
      </c>
      <c r="I19" s="132" t="s">
        <v>1100</v>
      </c>
      <c r="J19" s="132" t="s">
        <v>1101</v>
      </c>
      <c r="K19" s="132" t="s">
        <v>1109</v>
      </c>
      <c r="L19" s="132" t="s">
        <v>1110</v>
      </c>
      <c r="M19" s="132" t="s">
        <v>1146</v>
      </c>
      <c r="N19" s="132" t="s">
        <v>1112</v>
      </c>
      <c r="O19" s="132" t="s">
        <v>1147</v>
      </c>
      <c r="P19" s="132" t="s">
        <v>1107</v>
      </c>
      <c r="Q19" s="132" t="s">
        <v>1108</v>
      </c>
    </row>
    <row r="20" spans="1:17" x14ac:dyDescent="0.2">
      <c r="A20" t="s">
        <v>212</v>
      </c>
      <c r="B20" s="141">
        <f t="shared" si="0"/>
        <v>6.04</v>
      </c>
      <c r="C20" s="280">
        <v>45582</v>
      </c>
      <c r="D20" s="279">
        <v>45583</v>
      </c>
      <c r="E20" s="279">
        <v>45584</v>
      </c>
      <c r="F20" s="132"/>
      <c r="G20" s="132" t="s">
        <v>1108</v>
      </c>
      <c r="H20" s="132" t="s">
        <v>373</v>
      </c>
      <c r="I20" s="132" t="s">
        <v>1100</v>
      </c>
      <c r="J20" s="132" t="s">
        <v>1101</v>
      </c>
      <c r="K20" s="132" t="s">
        <v>1109</v>
      </c>
      <c r="L20" s="132" t="s">
        <v>1110</v>
      </c>
      <c r="M20" s="132" t="s">
        <v>1148</v>
      </c>
      <c r="N20" s="132" t="s">
        <v>1112</v>
      </c>
      <c r="O20" s="132" t="s">
        <v>1149</v>
      </c>
      <c r="P20" s="132" t="s">
        <v>1107</v>
      </c>
      <c r="Q20" s="132" t="s">
        <v>1108</v>
      </c>
    </row>
    <row r="21" spans="1:17" x14ac:dyDescent="0.2">
      <c r="A21" t="s">
        <v>212</v>
      </c>
      <c r="B21" s="141">
        <f t="shared" si="0"/>
        <v>6.04</v>
      </c>
      <c r="C21" s="280">
        <v>45582</v>
      </c>
      <c r="D21" s="279">
        <v>45583</v>
      </c>
      <c r="E21" s="279">
        <v>45584</v>
      </c>
      <c r="F21" s="132"/>
      <c r="G21" s="132" t="s">
        <v>1108</v>
      </c>
      <c r="H21" s="132" t="s">
        <v>373</v>
      </c>
      <c r="I21" s="132" t="s">
        <v>1100</v>
      </c>
      <c r="J21" s="132" t="s">
        <v>1101</v>
      </c>
      <c r="K21" s="132" t="s">
        <v>1109</v>
      </c>
      <c r="L21" s="132" t="s">
        <v>1110</v>
      </c>
      <c r="M21" s="132" t="s">
        <v>1150</v>
      </c>
      <c r="N21" s="132" t="s">
        <v>1112</v>
      </c>
      <c r="O21" s="132" t="s">
        <v>1151</v>
      </c>
      <c r="P21" s="132" t="s">
        <v>1107</v>
      </c>
      <c r="Q21" s="132" t="s">
        <v>1108</v>
      </c>
    </row>
    <row r="22" spans="1:17" x14ac:dyDescent="0.2">
      <c r="A22" t="s">
        <v>212</v>
      </c>
      <c r="B22" s="141">
        <f t="shared" si="0"/>
        <v>6.08</v>
      </c>
      <c r="C22" s="280">
        <v>45582</v>
      </c>
      <c r="D22" s="279">
        <v>45583</v>
      </c>
      <c r="E22" s="279">
        <v>45584</v>
      </c>
      <c r="F22" s="132"/>
      <c r="G22" s="132" t="s">
        <v>1108</v>
      </c>
      <c r="H22" s="132" t="s">
        <v>373</v>
      </c>
      <c r="I22" s="132" t="s">
        <v>1100</v>
      </c>
      <c r="J22" s="132" t="s">
        <v>1101</v>
      </c>
      <c r="K22" s="132" t="s">
        <v>1102</v>
      </c>
      <c r="L22" s="132" t="s">
        <v>1103</v>
      </c>
      <c r="M22" s="132" t="s">
        <v>1152</v>
      </c>
      <c r="N22" s="132" t="s">
        <v>1117</v>
      </c>
      <c r="O22" s="132" t="s">
        <v>1153</v>
      </c>
      <c r="P22" s="132" t="s">
        <v>1107</v>
      </c>
      <c r="Q22" s="132" t="s">
        <v>1108</v>
      </c>
    </row>
    <row r="23" spans="1:17" x14ac:dyDescent="0.2">
      <c r="A23" t="s">
        <v>212</v>
      </c>
      <c r="B23" s="141">
        <f t="shared" si="0"/>
        <v>6.08</v>
      </c>
      <c r="C23" s="280">
        <v>45582</v>
      </c>
      <c r="D23" s="279">
        <v>45583</v>
      </c>
      <c r="E23" s="279">
        <v>45584</v>
      </c>
      <c r="F23" s="132"/>
      <c r="G23" s="132" t="s">
        <v>1108</v>
      </c>
      <c r="H23" s="132" t="s">
        <v>373</v>
      </c>
      <c r="I23" s="132" t="s">
        <v>1100</v>
      </c>
      <c r="J23" s="132" t="s">
        <v>1101</v>
      </c>
      <c r="K23" s="132" t="s">
        <v>1102</v>
      </c>
      <c r="L23" s="132" t="s">
        <v>1103</v>
      </c>
      <c r="M23" s="132" t="s">
        <v>1154</v>
      </c>
      <c r="N23" s="132" t="s">
        <v>1117</v>
      </c>
      <c r="O23" s="132" t="s">
        <v>1155</v>
      </c>
      <c r="P23" s="132" t="s">
        <v>1107</v>
      </c>
      <c r="Q23" s="132" t="s">
        <v>1108</v>
      </c>
    </row>
    <row r="24" spans="1:17" x14ac:dyDescent="0.2">
      <c r="A24" t="s">
        <v>212</v>
      </c>
      <c r="B24" s="141">
        <f t="shared" si="0"/>
        <v>6.04</v>
      </c>
      <c r="C24" s="280">
        <v>45582</v>
      </c>
      <c r="D24" s="279">
        <v>45583</v>
      </c>
      <c r="E24" s="279">
        <v>45584</v>
      </c>
      <c r="F24" s="132"/>
      <c r="G24" s="132" t="s">
        <v>1108</v>
      </c>
      <c r="H24" s="132" t="s">
        <v>373</v>
      </c>
      <c r="I24" s="132" t="s">
        <v>1100</v>
      </c>
      <c r="J24" s="132" t="s">
        <v>1101</v>
      </c>
      <c r="K24" s="132" t="s">
        <v>1109</v>
      </c>
      <c r="L24" s="132" t="s">
        <v>1110</v>
      </c>
      <c r="M24" s="132" t="s">
        <v>1156</v>
      </c>
      <c r="N24" s="132" t="s">
        <v>1112</v>
      </c>
      <c r="O24" s="132" t="s">
        <v>1157</v>
      </c>
      <c r="P24" s="132" t="s">
        <v>1107</v>
      </c>
      <c r="Q24" s="132" t="s">
        <v>1108</v>
      </c>
    </row>
    <row r="25" spans="1:17" x14ac:dyDescent="0.2">
      <c r="A25" t="s">
        <v>212</v>
      </c>
      <c r="B25" s="141">
        <f t="shared" si="0"/>
        <v>6.04</v>
      </c>
      <c r="C25" s="280">
        <v>45582</v>
      </c>
      <c r="D25" s="279">
        <v>45583</v>
      </c>
      <c r="E25" s="279">
        <v>45584</v>
      </c>
      <c r="F25" s="132"/>
      <c r="G25" s="132" t="s">
        <v>1108</v>
      </c>
      <c r="H25" s="132" t="s">
        <v>373</v>
      </c>
      <c r="I25" s="132" t="s">
        <v>1100</v>
      </c>
      <c r="J25" s="132" t="s">
        <v>1101</v>
      </c>
      <c r="K25" s="132" t="s">
        <v>1109</v>
      </c>
      <c r="L25" s="132" t="s">
        <v>1110</v>
      </c>
      <c r="M25" s="132" t="s">
        <v>1158</v>
      </c>
      <c r="N25" s="132" t="s">
        <v>1112</v>
      </c>
      <c r="O25" s="132" t="s">
        <v>1159</v>
      </c>
      <c r="P25" s="132" t="s">
        <v>1107</v>
      </c>
      <c r="Q25" s="132" t="s">
        <v>1108</v>
      </c>
    </row>
    <row r="26" spans="1:17" x14ac:dyDescent="0.2">
      <c r="A26" t="s">
        <v>212</v>
      </c>
      <c r="B26" s="141">
        <f t="shared" si="0"/>
        <v>6.04</v>
      </c>
      <c r="C26" s="280">
        <v>45582</v>
      </c>
      <c r="D26" s="279">
        <v>45583</v>
      </c>
      <c r="E26" s="279">
        <v>45584</v>
      </c>
      <c r="F26" s="132"/>
      <c r="G26" s="132" t="s">
        <v>1108</v>
      </c>
      <c r="H26" s="132" t="s">
        <v>373</v>
      </c>
      <c r="I26" s="132" t="s">
        <v>1100</v>
      </c>
      <c r="J26" s="132" t="s">
        <v>1101</v>
      </c>
      <c r="K26" s="132" t="s">
        <v>1109</v>
      </c>
      <c r="L26" s="132" t="s">
        <v>1110</v>
      </c>
      <c r="M26" s="132" t="s">
        <v>1160</v>
      </c>
      <c r="N26" s="132" t="s">
        <v>1112</v>
      </c>
      <c r="O26" s="132" t="s">
        <v>1161</v>
      </c>
      <c r="P26" s="132" t="s">
        <v>1107</v>
      </c>
      <c r="Q26" s="132" t="s">
        <v>1108</v>
      </c>
    </row>
    <row r="27" spans="1:17" x14ac:dyDescent="0.2">
      <c r="A27" t="s">
        <v>212</v>
      </c>
      <c r="B27" s="141">
        <f t="shared" si="0"/>
        <v>6.08</v>
      </c>
      <c r="C27" s="280">
        <v>45582</v>
      </c>
      <c r="D27" s="279">
        <v>45583</v>
      </c>
      <c r="E27" s="279">
        <v>45584</v>
      </c>
      <c r="F27" s="132"/>
      <c r="G27" s="132" t="s">
        <v>1108</v>
      </c>
      <c r="H27" s="132" t="s">
        <v>373</v>
      </c>
      <c r="I27" s="132" t="s">
        <v>1100</v>
      </c>
      <c r="J27" s="132" t="s">
        <v>1101</v>
      </c>
      <c r="K27" s="132" t="s">
        <v>1102</v>
      </c>
      <c r="L27" s="132" t="s">
        <v>1103</v>
      </c>
      <c r="M27" s="132" t="s">
        <v>1162</v>
      </c>
      <c r="N27" s="132" t="s">
        <v>1117</v>
      </c>
      <c r="O27" s="132" t="s">
        <v>1163</v>
      </c>
      <c r="P27" s="132" t="s">
        <v>1107</v>
      </c>
      <c r="Q27" s="132" t="s">
        <v>1108</v>
      </c>
    </row>
    <row r="28" spans="1:17" x14ac:dyDescent="0.2">
      <c r="A28" t="s">
        <v>212</v>
      </c>
      <c r="B28" s="141">
        <f t="shared" si="0"/>
        <v>6.04</v>
      </c>
      <c r="C28" s="280">
        <v>45582</v>
      </c>
      <c r="D28" s="279">
        <v>45583</v>
      </c>
      <c r="E28" s="279">
        <v>45584</v>
      </c>
      <c r="F28" s="132"/>
      <c r="G28" s="132" t="s">
        <v>1108</v>
      </c>
      <c r="H28" s="132" t="s">
        <v>373</v>
      </c>
      <c r="I28" s="132" t="s">
        <v>1100</v>
      </c>
      <c r="J28" s="132" t="s">
        <v>1101</v>
      </c>
      <c r="K28" s="132" t="s">
        <v>1109</v>
      </c>
      <c r="L28" s="132" t="s">
        <v>1110</v>
      </c>
      <c r="M28" s="132" t="s">
        <v>1164</v>
      </c>
      <c r="N28" s="132" t="s">
        <v>1112</v>
      </c>
      <c r="O28" s="132" t="s">
        <v>1165</v>
      </c>
      <c r="P28" s="132" t="s">
        <v>1107</v>
      </c>
      <c r="Q28" s="132" t="s">
        <v>1108</v>
      </c>
    </row>
    <row r="29" spans="1:17" x14ac:dyDescent="0.2">
      <c r="A29" t="s">
        <v>212</v>
      </c>
      <c r="B29" s="141">
        <f t="shared" si="0"/>
        <v>6.08</v>
      </c>
      <c r="C29" s="280">
        <v>45582</v>
      </c>
      <c r="D29" s="279">
        <v>45583</v>
      </c>
      <c r="E29" s="279">
        <v>45584</v>
      </c>
      <c r="F29" s="132"/>
      <c r="G29" s="132" t="s">
        <v>1166</v>
      </c>
      <c r="H29" s="132" t="s">
        <v>373</v>
      </c>
      <c r="I29" s="132" t="s">
        <v>1100</v>
      </c>
      <c r="J29" s="132" t="s">
        <v>1101</v>
      </c>
      <c r="K29" s="132" t="s">
        <v>1102</v>
      </c>
      <c r="L29" s="132" t="s">
        <v>1103</v>
      </c>
      <c r="M29" s="132" t="s">
        <v>1167</v>
      </c>
      <c r="N29" s="132" t="s">
        <v>1105</v>
      </c>
      <c r="O29" s="132" t="s">
        <v>1168</v>
      </c>
      <c r="P29" s="132" t="s">
        <v>1107</v>
      </c>
      <c r="Q29" s="132" t="s">
        <v>1108</v>
      </c>
    </row>
    <row r="30" spans="1:17" x14ac:dyDescent="0.2">
      <c r="A30" t="s">
        <v>212</v>
      </c>
      <c r="B30" s="141">
        <f t="shared" si="0"/>
        <v>6.04</v>
      </c>
      <c r="C30" s="280">
        <v>45582</v>
      </c>
      <c r="D30" s="279">
        <v>45583</v>
      </c>
      <c r="E30" s="279">
        <v>45584</v>
      </c>
      <c r="F30" s="132"/>
      <c r="G30" s="132" t="s">
        <v>1108</v>
      </c>
      <c r="H30" s="132" t="s">
        <v>373</v>
      </c>
      <c r="I30" s="132" t="s">
        <v>1100</v>
      </c>
      <c r="J30" s="132" t="s">
        <v>1101</v>
      </c>
      <c r="K30" s="132" t="s">
        <v>1109</v>
      </c>
      <c r="L30" s="132" t="s">
        <v>1110</v>
      </c>
      <c r="M30" s="132" t="s">
        <v>1169</v>
      </c>
      <c r="N30" s="132" t="s">
        <v>1112</v>
      </c>
      <c r="O30" s="132" t="s">
        <v>1170</v>
      </c>
      <c r="P30" s="132" t="s">
        <v>1107</v>
      </c>
      <c r="Q30" s="132" t="s">
        <v>1108</v>
      </c>
    </row>
    <row r="31" spans="1:17" x14ac:dyDescent="0.2">
      <c r="A31" t="s">
        <v>213</v>
      </c>
      <c r="B31" s="141">
        <f t="shared" si="0"/>
        <v>7.99</v>
      </c>
      <c r="C31" s="280">
        <v>45582</v>
      </c>
      <c r="D31" s="279">
        <v>45583</v>
      </c>
      <c r="E31" s="279">
        <v>45584</v>
      </c>
      <c r="F31" s="132"/>
      <c r="G31" s="132" t="s">
        <v>1108</v>
      </c>
      <c r="H31" s="132" t="s">
        <v>373</v>
      </c>
      <c r="I31" s="132" t="s">
        <v>1100</v>
      </c>
      <c r="J31" s="132" t="s">
        <v>1171</v>
      </c>
      <c r="K31" s="132" t="s">
        <v>1172</v>
      </c>
      <c r="L31" s="132" t="s">
        <v>1173</v>
      </c>
      <c r="M31" s="132" t="s">
        <v>1174</v>
      </c>
      <c r="N31" s="132" t="s">
        <v>1112</v>
      </c>
      <c r="O31" s="132" t="s">
        <v>1175</v>
      </c>
      <c r="P31" s="132" t="s">
        <v>1107</v>
      </c>
      <c r="Q31" s="132" t="s">
        <v>1108</v>
      </c>
    </row>
    <row r="32" spans="1:17" x14ac:dyDescent="0.2">
      <c r="A32" t="s">
        <v>212</v>
      </c>
      <c r="B32" s="141">
        <f t="shared" si="0"/>
        <v>6.04</v>
      </c>
      <c r="C32" s="280">
        <v>45582</v>
      </c>
      <c r="D32" s="279">
        <v>45583</v>
      </c>
      <c r="E32" s="279">
        <v>45584</v>
      </c>
      <c r="F32" s="132"/>
      <c r="G32" s="132" t="s">
        <v>1108</v>
      </c>
      <c r="H32" s="132" t="s">
        <v>373</v>
      </c>
      <c r="I32" s="132" t="s">
        <v>1100</v>
      </c>
      <c r="J32" s="132" t="s">
        <v>1101</v>
      </c>
      <c r="K32" s="132" t="s">
        <v>1109</v>
      </c>
      <c r="L32" s="132" t="s">
        <v>1110</v>
      </c>
      <c r="M32" s="132" t="s">
        <v>1176</v>
      </c>
      <c r="N32" s="132" t="s">
        <v>1112</v>
      </c>
      <c r="O32" s="132" t="s">
        <v>1177</v>
      </c>
      <c r="P32" s="132" t="s">
        <v>1107</v>
      </c>
      <c r="Q32" s="132" t="s">
        <v>1108</v>
      </c>
    </row>
    <row r="33" spans="1:17" x14ac:dyDescent="0.2">
      <c r="A33" t="s">
        <v>212</v>
      </c>
      <c r="B33" s="141">
        <f t="shared" si="0"/>
        <v>6.04</v>
      </c>
      <c r="C33" s="280">
        <v>45582</v>
      </c>
      <c r="D33" s="279">
        <v>45583</v>
      </c>
      <c r="E33" s="279">
        <v>45584</v>
      </c>
      <c r="F33" s="132"/>
      <c r="G33" s="132" t="s">
        <v>1108</v>
      </c>
      <c r="H33" s="132" t="s">
        <v>373</v>
      </c>
      <c r="I33" s="132" t="s">
        <v>1100</v>
      </c>
      <c r="J33" s="132" t="s">
        <v>1101</v>
      </c>
      <c r="K33" s="132" t="s">
        <v>1109</v>
      </c>
      <c r="L33" s="132" t="s">
        <v>1110</v>
      </c>
      <c r="M33" s="132" t="s">
        <v>1178</v>
      </c>
      <c r="N33" s="132" t="s">
        <v>1112</v>
      </c>
      <c r="O33" s="132" t="s">
        <v>1179</v>
      </c>
      <c r="P33" s="132" t="s">
        <v>1107</v>
      </c>
      <c r="Q33" s="132" t="s">
        <v>1108</v>
      </c>
    </row>
    <row r="34" spans="1:17" x14ac:dyDescent="0.2">
      <c r="A34" t="s">
        <v>212</v>
      </c>
      <c r="B34" s="141">
        <f t="shared" si="0"/>
        <v>6.04</v>
      </c>
      <c r="C34" s="280">
        <v>45582</v>
      </c>
      <c r="D34" s="279">
        <v>45583</v>
      </c>
      <c r="E34" s="279">
        <v>45584</v>
      </c>
      <c r="F34" s="132"/>
      <c r="G34" s="132" t="s">
        <v>1108</v>
      </c>
      <c r="H34" s="132" t="s">
        <v>373</v>
      </c>
      <c r="I34" s="132" t="s">
        <v>1100</v>
      </c>
      <c r="J34" s="132" t="s">
        <v>1101</v>
      </c>
      <c r="K34" s="132" t="s">
        <v>1109</v>
      </c>
      <c r="L34" s="132" t="s">
        <v>1110</v>
      </c>
      <c r="M34" s="132" t="s">
        <v>1180</v>
      </c>
      <c r="N34" s="132" t="s">
        <v>1112</v>
      </c>
      <c r="O34" s="132" t="s">
        <v>1181</v>
      </c>
      <c r="P34" s="132" t="s">
        <v>1107</v>
      </c>
      <c r="Q34" s="132" t="s">
        <v>1108</v>
      </c>
    </row>
    <row r="35" spans="1:17" x14ac:dyDescent="0.2">
      <c r="A35" t="s">
        <v>212</v>
      </c>
      <c r="B35" s="141">
        <f t="shared" si="0"/>
        <v>6.04</v>
      </c>
      <c r="C35" s="280">
        <v>45582</v>
      </c>
      <c r="D35" s="279">
        <v>45583</v>
      </c>
      <c r="E35" s="279">
        <v>45584</v>
      </c>
      <c r="F35" s="132"/>
      <c r="G35" s="132" t="s">
        <v>1108</v>
      </c>
      <c r="H35" s="132" t="s">
        <v>373</v>
      </c>
      <c r="I35" s="132" t="s">
        <v>1100</v>
      </c>
      <c r="J35" s="132" t="s">
        <v>1101</v>
      </c>
      <c r="K35" s="132" t="s">
        <v>1109</v>
      </c>
      <c r="L35" s="132" t="s">
        <v>1110</v>
      </c>
      <c r="M35" s="132" t="s">
        <v>1182</v>
      </c>
      <c r="N35" s="132" t="s">
        <v>1112</v>
      </c>
      <c r="O35" s="132" t="s">
        <v>1183</v>
      </c>
      <c r="P35" s="132" t="s">
        <v>1107</v>
      </c>
      <c r="Q35" s="132" t="s">
        <v>1108</v>
      </c>
    </row>
    <row r="36" spans="1:17" x14ac:dyDescent="0.2">
      <c r="A36" t="s">
        <v>212</v>
      </c>
      <c r="B36" s="141">
        <f t="shared" si="0"/>
        <v>6.04</v>
      </c>
      <c r="C36" s="280">
        <v>45582</v>
      </c>
      <c r="D36" s="279">
        <v>45583</v>
      </c>
      <c r="E36" s="279">
        <v>45584</v>
      </c>
      <c r="F36" s="132"/>
      <c r="G36" s="132" t="s">
        <v>1108</v>
      </c>
      <c r="H36" s="132" t="s">
        <v>373</v>
      </c>
      <c r="I36" s="132" t="s">
        <v>1100</v>
      </c>
      <c r="J36" s="132" t="s">
        <v>1101</v>
      </c>
      <c r="K36" s="132" t="s">
        <v>1109</v>
      </c>
      <c r="L36" s="132" t="s">
        <v>1110</v>
      </c>
      <c r="M36" s="132" t="s">
        <v>1184</v>
      </c>
      <c r="N36" s="132" t="s">
        <v>1112</v>
      </c>
      <c r="O36" s="132" t="s">
        <v>1185</v>
      </c>
      <c r="P36" s="132" t="s">
        <v>1107</v>
      </c>
      <c r="Q36" s="132" t="s">
        <v>1108</v>
      </c>
    </row>
    <row r="37" spans="1:17" x14ac:dyDescent="0.2">
      <c r="A37" t="s">
        <v>212</v>
      </c>
      <c r="B37" s="141">
        <f t="shared" si="0"/>
        <v>6.04</v>
      </c>
      <c r="C37" s="280">
        <v>45583</v>
      </c>
      <c r="D37" s="279">
        <v>45583</v>
      </c>
      <c r="E37" s="279">
        <v>45584</v>
      </c>
      <c r="F37" s="132"/>
      <c r="G37" s="132" t="s">
        <v>1108</v>
      </c>
      <c r="H37" s="132" t="s">
        <v>373</v>
      </c>
      <c r="I37" s="132" t="s">
        <v>1100</v>
      </c>
      <c r="J37" s="132" t="s">
        <v>1101</v>
      </c>
      <c r="K37" s="132" t="s">
        <v>1109</v>
      </c>
      <c r="L37" s="132" t="s">
        <v>1110</v>
      </c>
      <c r="M37" s="132" t="s">
        <v>1186</v>
      </c>
      <c r="N37" s="132" t="s">
        <v>1112</v>
      </c>
      <c r="O37" s="132" t="s">
        <v>1187</v>
      </c>
      <c r="P37" s="132" t="s">
        <v>1107</v>
      </c>
      <c r="Q37" s="132" t="s">
        <v>1108</v>
      </c>
    </row>
    <row r="38" spans="1:17" x14ac:dyDescent="0.2">
      <c r="A38" t="s">
        <v>212</v>
      </c>
      <c r="B38" s="141">
        <f t="shared" si="0"/>
        <v>14.32</v>
      </c>
      <c r="C38" s="280">
        <v>45583</v>
      </c>
      <c r="D38" s="279">
        <v>45583</v>
      </c>
      <c r="E38" s="279">
        <v>45584</v>
      </c>
      <c r="F38" s="132"/>
      <c r="G38" s="132" t="s">
        <v>1108</v>
      </c>
      <c r="H38" s="132" t="s">
        <v>373</v>
      </c>
      <c r="I38" s="132" t="s">
        <v>1100</v>
      </c>
      <c r="J38" s="132" t="s">
        <v>1188</v>
      </c>
      <c r="K38" s="132" t="s">
        <v>1189</v>
      </c>
      <c r="L38" s="132" t="s">
        <v>1190</v>
      </c>
      <c r="M38" s="132" t="s">
        <v>1191</v>
      </c>
      <c r="N38" s="132" t="s">
        <v>1112</v>
      </c>
      <c r="O38" s="132" t="s">
        <v>1192</v>
      </c>
      <c r="P38" s="132" t="s">
        <v>1107</v>
      </c>
      <c r="Q38" s="132" t="s">
        <v>1108</v>
      </c>
    </row>
    <row r="39" spans="1:17" x14ac:dyDescent="0.2">
      <c r="A39" t="s">
        <v>212</v>
      </c>
      <c r="B39" s="141">
        <f t="shared" si="0"/>
        <v>6.04</v>
      </c>
      <c r="C39" s="280">
        <v>45583</v>
      </c>
      <c r="D39" s="279">
        <v>45583</v>
      </c>
      <c r="E39" s="279">
        <v>45584</v>
      </c>
      <c r="F39" s="132"/>
      <c r="G39" s="132" t="s">
        <v>1108</v>
      </c>
      <c r="H39" s="132" t="s">
        <v>373</v>
      </c>
      <c r="I39" s="132" t="s">
        <v>1100</v>
      </c>
      <c r="J39" s="132" t="s">
        <v>1101</v>
      </c>
      <c r="K39" s="132" t="s">
        <v>1109</v>
      </c>
      <c r="L39" s="132" t="s">
        <v>1110</v>
      </c>
      <c r="M39" s="132" t="s">
        <v>1193</v>
      </c>
      <c r="N39" s="132" t="s">
        <v>1112</v>
      </c>
      <c r="O39" s="132" t="s">
        <v>1194</v>
      </c>
      <c r="P39" s="132" t="s">
        <v>1107</v>
      </c>
      <c r="Q39" s="132" t="s">
        <v>1108</v>
      </c>
    </row>
    <row r="40" spans="1:17" x14ac:dyDescent="0.2">
      <c r="A40" t="s">
        <v>212</v>
      </c>
      <c r="B40" s="141">
        <f t="shared" si="0"/>
        <v>6.04</v>
      </c>
      <c r="C40" s="280">
        <v>45583</v>
      </c>
      <c r="D40" s="279">
        <v>45583</v>
      </c>
      <c r="E40" s="279">
        <v>45584</v>
      </c>
      <c r="F40" s="132"/>
      <c r="G40" s="132" t="s">
        <v>1108</v>
      </c>
      <c r="H40" s="132" t="s">
        <v>373</v>
      </c>
      <c r="I40" s="132" t="s">
        <v>1100</v>
      </c>
      <c r="J40" s="132" t="s">
        <v>1101</v>
      </c>
      <c r="K40" s="132" t="s">
        <v>1109</v>
      </c>
      <c r="L40" s="132" t="s">
        <v>1110</v>
      </c>
      <c r="M40" s="132" t="s">
        <v>1195</v>
      </c>
      <c r="N40" s="132" t="s">
        <v>1112</v>
      </c>
      <c r="O40" s="132" t="s">
        <v>1196</v>
      </c>
      <c r="P40" s="132" t="s">
        <v>1107</v>
      </c>
      <c r="Q40" s="132" t="s">
        <v>1108</v>
      </c>
    </row>
    <row r="41" spans="1:17" x14ac:dyDescent="0.2">
      <c r="A41" t="s">
        <v>212</v>
      </c>
      <c r="B41" s="141">
        <f t="shared" si="0"/>
        <v>14.32</v>
      </c>
      <c r="C41" s="280">
        <v>45583</v>
      </c>
      <c r="D41" s="279">
        <v>45583</v>
      </c>
      <c r="E41" s="279">
        <v>45584</v>
      </c>
      <c r="F41" s="132"/>
      <c r="G41" s="132" t="s">
        <v>1108</v>
      </c>
      <c r="H41" s="132" t="s">
        <v>373</v>
      </c>
      <c r="I41" s="132" t="s">
        <v>1100</v>
      </c>
      <c r="J41" s="132" t="s">
        <v>1188</v>
      </c>
      <c r="K41" s="132" t="s">
        <v>1189</v>
      </c>
      <c r="L41" s="132" t="s">
        <v>1190</v>
      </c>
      <c r="M41" s="132" t="s">
        <v>1197</v>
      </c>
      <c r="N41" s="132" t="s">
        <v>1112</v>
      </c>
      <c r="O41" s="132" t="s">
        <v>1198</v>
      </c>
      <c r="P41" s="132" t="s">
        <v>1107</v>
      </c>
      <c r="Q41" s="132" t="s">
        <v>1108</v>
      </c>
    </row>
    <row r="42" spans="1:17" x14ac:dyDescent="0.2">
      <c r="A42" t="s">
        <v>213</v>
      </c>
      <c r="B42" s="141">
        <f t="shared" si="0"/>
        <v>16.38</v>
      </c>
      <c r="C42" s="280">
        <v>45582</v>
      </c>
      <c r="D42" s="279">
        <v>45585</v>
      </c>
      <c r="E42" s="279">
        <v>45586</v>
      </c>
      <c r="F42" s="132"/>
      <c r="G42" s="132" t="s">
        <v>1108</v>
      </c>
      <c r="H42" s="132" t="s">
        <v>373</v>
      </c>
      <c r="I42" s="132" t="s">
        <v>1100</v>
      </c>
      <c r="J42" s="132" t="s">
        <v>1199</v>
      </c>
      <c r="K42" s="132" t="s">
        <v>1200</v>
      </c>
      <c r="L42" s="132" t="s">
        <v>1201</v>
      </c>
      <c r="M42" s="132" t="s">
        <v>1202</v>
      </c>
      <c r="N42" s="132" t="s">
        <v>1117</v>
      </c>
      <c r="O42" s="132" t="s">
        <v>1203</v>
      </c>
      <c r="P42" s="132" t="s">
        <v>1204</v>
      </c>
      <c r="Q42" s="132" t="s">
        <v>1108</v>
      </c>
    </row>
    <row r="43" spans="1:17" x14ac:dyDescent="0.2">
      <c r="A43" t="s">
        <v>212</v>
      </c>
      <c r="B43" s="141">
        <f t="shared" si="0"/>
        <v>6.08</v>
      </c>
      <c r="C43" s="280">
        <v>45582</v>
      </c>
      <c r="D43" s="279">
        <v>45585</v>
      </c>
      <c r="E43" s="279">
        <v>45586</v>
      </c>
      <c r="F43" s="132"/>
      <c r="G43" s="132" t="s">
        <v>1108</v>
      </c>
      <c r="H43" s="132" t="s">
        <v>373</v>
      </c>
      <c r="I43" s="132" t="s">
        <v>1100</v>
      </c>
      <c r="J43" s="132" t="s">
        <v>1101</v>
      </c>
      <c r="K43" s="132" t="s">
        <v>1102</v>
      </c>
      <c r="L43" s="132" t="s">
        <v>1103</v>
      </c>
      <c r="M43" s="132" t="s">
        <v>1205</v>
      </c>
      <c r="N43" s="132" t="s">
        <v>1117</v>
      </c>
      <c r="O43" s="132" t="s">
        <v>1206</v>
      </c>
      <c r="P43" s="132" t="s">
        <v>1204</v>
      </c>
      <c r="Q43" s="132" t="s">
        <v>1108</v>
      </c>
    </row>
    <row r="44" spans="1:17" x14ac:dyDescent="0.2">
      <c r="A44" t="s">
        <v>212</v>
      </c>
      <c r="B44" s="141">
        <f t="shared" si="0"/>
        <v>6.08</v>
      </c>
      <c r="C44" s="280">
        <v>45582</v>
      </c>
      <c r="D44" s="279">
        <v>45585</v>
      </c>
      <c r="E44" s="279">
        <v>45586</v>
      </c>
      <c r="F44" s="132"/>
      <c r="G44" s="132" t="s">
        <v>1108</v>
      </c>
      <c r="H44" s="132" t="s">
        <v>373</v>
      </c>
      <c r="I44" s="132" t="s">
        <v>1100</v>
      </c>
      <c r="J44" s="132" t="s">
        <v>1101</v>
      </c>
      <c r="K44" s="132" t="s">
        <v>1102</v>
      </c>
      <c r="L44" s="132" t="s">
        <v>1103</v>
      </c>
      <c r="M44" s="132" t="s">
        <v>1207</v>
      </c>
      <c r="N44" s="132" t="s">
        <v>1117</v>
      </c>
      <c r="O44" s="132" t="s">
        <v>1208</v>
      </c>
      <c r="P44" s="132" t="s">
        <v>1204</v>
      </c>
      <c r="Q44" s="132" t="s">
        <v>1108</v>
      </c>
    </row>
    <row r="45" spans="1:17" x14ac:dyDescent="0.2">
      <c r="A45" t="s">
        <v>212</v>
      </c>
      <c r="B45" s="141">
        <f t="shared" si="0"/>
        <v>6.08</v>
      </c>
      <c r="C45" s="280">
        <v>45582</v>
      </c>
      <c r="D45" s="279">
        <v>45585</v>
      </c>
      <c r="E45" s="279">
        <v>45586</v>
      </c>
      <c r="F45" s="132"/>
      <c r="G45" s="132" t="s">
        <v>1108</v>
      </c>
      <c r="H45" s="132" t="s">
        <v>373</v>
      </c>
      <c r="I45" s="132" t="s">
        <v>1100</v>
      </c>
      <c r="J45" s="132" t="s">
        <v>1101</v>
      </c>
      <c r="K45" s="132" t="s">
        <v>1102</v>
      </c>
      <c r="L45" s="132" t="s">
        <v>1103</v>
      </c>
      <c r="M45" s="281" t="s">
        <v>1209</v>
      </c>
      <c r="N45" s="132" t="s">
        <v>1117</v>
      </c>
      <c r="O45" s="132" t="s">
        <v>1210</v>
      </c>
      <c r="P45" s="132" t="s">
        <v>1204</v>
      </c>
      <c r="Q45" s="132" t="s">
        <v>1108</v>
      </c>
    </row>
    <row r="46" spans="1:17" x14ac:dyDescent="0.2">
      <c r="A46" t="s">
        <v>212</v>
      </c>
      <c r="B46" s="141">
        <f t="shared" si="0"/>
        <v>6.08</v>
      </c>
      <c r="C46" s="280">
        <v>45582</v>
      </c>
      <c r="D46" s="279">
        <v>45585</v>
      </c>
      <c r="E46" s="279">
        <v>45586</v>
      </c>
      <c r="F46" s="132"/>
      <c r="G46" s="132" t="s">
        <v>1211</v>
      </c>
      <c r="H46" s="132" t="s">
        <v>373</v>
      </c>
      <c r="I46" s="132" t="s">
        <v>1100</v>
      </c>
      <c r="J46" s="132" t="s">
        <v>1101</v>
      </c>
      <c r="K46" s="132" t="s">
        <v>1102</v>
      </c>
      <c r="L46" s="132" t="s">
        <v>1103</v>
      </c>
      <c r="M46" s="132" t="s">
        <v>1212</v>
      </c>
      <c r="N46" s="132" t="s">
        <v>1105</v>
      </c>
      <c r="O46" s="132" t="s">
        <v>1213</v>
      </c>
      <c r="P46" s="132" t="s">
        <v>1204</v>
      </c>
      <c r="Q46" s="132" t="s">
        <v>1108</v>
      </c>
    </row>
    <row r="47" spans="1:17" x14ac:dyDescent="0.2">
      <c r="A47" t="s">
        <v>212</v>
      </c>
      <c r="B47" s="141">
        <f t="shared" si="0"/>
        <v>6.08</v>
      </c>
      <c r="C47" s="280">
        <v>45582</v>
      </c>
      <c r="D47" s="279">
        <v>45585</v>
      </c>
      <c r="E47" s="279">
        <v>45586</v>
      </c>
      <c r="F47" s="132"/>
      <c r="G47" s="132" t="s">
        <v>1214</v>
      </c>
      <c r="H47" s="132" t="s">
        <v>373</v>
      </c>
      <c r="I47" s="132" t="s">
        <v>1100</v>
      </c>
      <c r="J47" s="132" t="s">
        <v>1101</v>
      </c>
      <c r="K47" s="132" t="s">
        <v>1102</v>
      </c>
      <c r="L47" s="132" t="s">
        <v>1103</v>
      </c>
      <c r="M47" s="132" t="s">
        <v>1215</v>
      </c>
      <c r="N47" s="132" t="s">
        <v>1105</v>
      </c>
      <c r="O47" s="132" t="s">
        <v>1216</v>
      </c>
      <c r="P47" s="132" t="s">
        <v>1204</v>
      </c>
      <c r="Q47" s="132" t="s">
        <v>1108</v>
      </c>
    </row>
    <row r="48" spans="1:17" x14ac:dyDescent="0.2">
      <c r="A48" t="s">
        <v>212</v>
      </c>
      <c r="B48" s="141">
        <f t="shared" si="0"/>
        <v>6.08</v>
      </c>
      <c r="C48" s="280">
        <v>45582</v>
      </c>
      <c r="D48" s="279">
        <v>45585</v>
      </c>
      <c r="E48" s="279">
        <v>45586</v>
      </c>
      <c r="F48" s="132"/>
      <c r="G48" s="132" t="s">
        <v>1217</v>
      </c>
      <c r="H48" s="132" t="s">
        <v>373</v>
      </c>
      <c r="I48" s="132" t="s">
        <v>1100</v>
      </c>
      <c r="J48" s="132" t="s">
        <v>1101</v>
      </c>
      <c r="K48" s="132" t="s">
        <v>1102</v>
      </c>
      <c r="L48" s="132" t="s">
        <v>1103</v>
      </c>
      <c r="M48" s="132" t="s">
        <v>1218</v>
      </c>
      <c r="N48" s="132" t="s">
        <v>1105</v>
      </c>
      <c r="O48" s="132" t="s">
        <v>1219</v>
      </c>
      <c r="P48" s="132" t="s">
        <v>1204</v>
      </c>
      <c r="Q48" s="132" t="s">
        <v>1108</v>
      </c>
    </row>
    <row r="49" spans="1:17" x14ac:dyDescent="0.2">
      <c r="A49" t="s">
        <v>212</v>
      </c>
      <c r="B49" s="141">
        <f t="shared" si="0"/>
        <v>6.08</v>
      </c>
      <c r="C49" s="280">
        <v>45582</v>
      </c>
      <c r="D49" s="279">
        <v>45585</v>
      </c>
      <c r="E49" s="279">
        <v>45586</v>
      </c>
      <c r="F49" s="132"/>
      <c r="G49" s="132" t="s">
        <v>1220</v>
      </c>
      <c r="H49" s="132" t="s">
        <v>373</v>
      </c>
      <c r="I49" s="132" t="s">
        <v>1100</v>
      </c>
      <c r="J49" s="132" t="s">
        <v>1101</v>
      </c>
      <c r="K49" s="132" t="s">
        <v>1102</v>
      </c>
      <c r="L49" s="132" t="s">
        <v>1103</v>
      </c>
      <c r="M49" s="132" t="s">
        <v>1221</v>
      </c>
      <c r="N49" s="132" t="s">
        <v>1105</v>
      </c>
      <c r="O49" s="132" t="s">
        <v>1222</v>
      </c>
      <c r="P49" s="132" t="s">
        <v>1204</v>
      </c>
      <c r="Q49" s="132" t="s">
        <v>1108</v>
      </c>
    </row>
    <row r="50" spans="1:17" x14ac:dyDescent="0.2">
      <c r="A50" t="s">
        <v>212</v>
      </c>
      <c r="B50" s="141">
        <f t="shared" si="0"/>
        <v>6.08</v>
      </c>
      <c r="C50" s="280">
        <v>45582</v>
      </c>
      <c r="D50" s="279">
        <v>45585</v>
      </c>
      <c r="E50" s="279">
        <v>45586</v>
      </c>
      <c r="F50" s="132"/>
      <c r="G50" s="132" t="s">
        <v>1108</v>
      </c>
      <c r="H50" s="132" t="s">
        <v>373</v>
      </c>
      <c r="I50" s="132" t="s">
        <v>1100</v>
      </c>
      <c r="J50" s="132" t="s">
        <v>1101</v>
      </c>
      <c r="K50" s="132" t="s">
        <v>1102</v>
      </c>
      <c r="L50" s="132" t="s">
        <v>1103</v>
      </c>
      <c r="M50" s="132" t="s">
        <v>1223</v>
      </c>
      <c r="N50" s="132" t="s">
        <v>1117</v>
      </c>
      <c r="O50" s="132" t="s">
        <v>1224</v>
      </c>
      <c r="P50" s="132" t="s">
        <v>1204</v>
      </c>
      <c r="Q50" s="132" t="s">
        <v>1108</v>
      </c>
    </row>
    <row r="51" spans="1:17" x14ac:dyDescent="0.2">
      <c r="A51" t="s">
        <v>213</v>
      </c>
      <c r="B51" s="141">
        <f t="shared" si="0"/>
        <v>8.0400000000000009</v>
      </c>
      <c r="C51" s="280">
        <v>45582</v>
      </c>
      <c r="D51" s="279">
        <v>45585</v>
      </c>
      <c r="E51" s="279">
        <v>45586</v>
      </c>
      <c r="F51" s="132"/>
      <c r="G51" s="132" t="s">
        <v>1108</v>
      </c>
      <c r="H51" s="132" t="s">
        <v>373</v>
      </c>
      <c r="I51" s="132" t="s">
        <v>1100</v>
      </c>
      <c r="J51" s="132" t="s">
        <v>1171</v>
      </c>
      <c r="K51" s="132" t="s">
        <v>1225</v>
      </c>
      <c r="L51" s="132" t="s">
        <v>1226</v>
      </c>
      <c r="M51" s="132" t="s">
        <v>1227</v>
      </c>
      <c r="N51" s="132" t="s">
        <v>1117</v>
      </c>
      <c r="O51" s="132" t="s">
        <v>1228</v>
      </c>
      <c r="P51" s="132" t="s">
        <v>1204</v>
      </c>
      <c r="Q51" s="132" t="s">
        <v>1108</v>
      </c>
    </row>
    <row r="52" spans="1:17" x14ac:dyDescent="0.2">
      <c r="A52" t="s">
        <v>212</v>
      </c>
      <c r="B52" s="141">
        <f t="shared" si="0"/>
        <v>6.08</v>
      </c>
      <c r="C52" s="280">
        <v>45582</v>
      </c>
      <c r="D52" s="279">
        <v>45585</v>
      </c>
      <c r="E52" s="279">
        <v>45586</v>
      </c>
      <c r="F52" s="132"/>
      <c r="G52" s="132" t="s">
        <v>1229</v>
      </c>
      <c r="H52" s="132" t="s">
        <v>373</v>
      </c>
      <c r="I52" s="132" t="s">
        <v>1100</v>
      </c>
      <c r="J52" s="132" t="s">
        <v>1101</v>
      </c>
      <c r="K52" s="132" t="s">
        <v>1102</v>
      </c>
      <c r="L52" s="132" t="s">
        <v>1103</v>
      </c>
      <c r="M52" s="281" t="s">
        <v>1230</v>
      </c>
      <c r="N52" s="132" t="s">
        <v>1105</v>
      </c>
      <c r="O52" s="132" t="s">
        <v>1231</v>
      </c>
      <c r="P52" s="132" t="s">
        <v>1204</v>
      </c>
      <c r="Q52" s="132" t="s">
        <v>1108</v>
      </c>
    </row>
    <row r="53" spans="1:17" x14ac:dyDescent="0.2">
      <c r="A53" t="s">
        <v>212</v>
      </c>
      <c r="B53" s="141">
        <f t="shared" si="0"/>
        <v>6.08</v>
      </c>
      <c r="C53" s="280">
        <v>45583</v>
      </c>
      <c r="D53" s="279">
        <v>45585</v>
      </c>
      <c r="E53" s="279">
        <v>45586</v>
      </c>
      <c r="F53" s="132"/>
      <c r="G53" s="132" t="s">
        <v>1108</v>
      </c>
      <c r="H53" s="132" t="s">
        <v>373</v>
      </c>
      <c r="I53" s="132" t="s">
        <v>1100</v>
      </c>
      <c r="J53" s="132" t="s">
        <v>1101</v>
      </c>
      <c r="K53" s="132" t="s">
        <v>1102</v>
      </c>
      <c r="L53" s="132" t="s">
        <v>1103</v>
      </c>
      <c r="M53" s="132" t="s">
        <v>1232</v>
      </c>
      <c r="N53" s="132" t="s">
        <v>1117</v>
      </c>
      <c r="O53" s="132" t="s">
        <v>1233</v>
      </c>
      <c r="P53" s="132" t="s">
        <v>1204</v>
      </c>
      <c r="Q53" s="132" t="s">
        <v>1108</v>
      </c>
    </row>
    <row r="54" spans="1:17" x14ac:dyDescent="0.2">
      <c r="A54" t="s">
        <v>212</v>
      </c>
      <c r="B54" s="141">
        <f t="shared" si="0"/>
        <v>6.08</v>
      </c>
      <c r="C54" s="280">
        <v>45583</v>
      </c>
      <c r="D54" s="279">
        <v>45585</v>
      </c>
      <c r="E54" s="279">
        <v>45586</v>
      </c>
      <c r="F54" s="132"/>
      <c r="G54" s="132" t="s">
        <v>1108</v>
      </c>
      <c r="H54" s="132" t="s">
        <v>373</v>
      </c>
      <c r="I54" s="132" t="s">
        <v>1100</v>
      </c>
      <c r="J54" s="132" t="s">
        <v>1101</v>
      </c>
      <c r="K54" s="132" t="s">
        <v>1102</v>
      </c>
      <c r="L54" s="132" t="s">
        <v>1103</v>
      </c>
      <c r="M54" s="132" t="s">
        <v>1234</v>
      </c>
      <c r="N54" s="132" t="s">
        <v>1117</v>
      </c>
      <c r="O54" s="132" t="s">
        <v>1235</v>
      </c>
      <c r="P54" s="132" t="s">
        <v>1204</v>
      </c>
      <c r="Q54" s="132" t="s">
        <v>1108</v>
      </c>
    </row>
    <row r="55" spans="1:17" x14ac:dyDescent="0.2">
      <c r="A55" t="s">
        <v>213</v>
      </c>
      <c r="B55" s="141">
        <f t="shared" si="0"/>
        <v>16.38</v>
      </c>
      <c r="C55" s="280">
        <v>45583</v>
      </c>
      <c r="D55" s="279">
        <v>45585</v>
      </c>
      <c r="E55" s="279">
        <v>45586</v>
      </c>
      <c r="F55" s="132"/>
      <c r="G55" s="132" t="s">
        <v>1236</v>
      </c>
      <c r="H55" s="132" t="s">
        <v>373</v>
      </c>
      <c r="I55" s="132" t="s">
        <v>1100</v>
      </c>
      <c r="J55" s="132" t="s">
        <v>1199</v>
      </c>
      <c r="K55" s="132" t="s">
        <v>1200</v>
      </c>
      <c r="L55" s="132" t="s">
        <v>1201</v>
      </c>
      <c r="M55" s="132" t="s">
        <v>1237</v>
      </c>
      <c r="N55" s="132" t="s">
        <v>1105</v>
      </c>
      <c r="O55" s="132" t="s">
        <v>1238</v>
      </c>
      <c r="P55" s="132" t="s">
        <v>1204</v>
      </c>
      <c r="Q55" s="132" t="s">
        <v>1108</v>
      </c>
    </row>
    <row r="56" spans="1:17" x14ac:dyDescent="0.2">
      <c r="A56" t="s">
        <v>212</v>
      </c>
      <c r="B56" s="141">
        <f t="shared" si="0"/>
        <v>6.08</v>
      </c>
      <c r="C56" s="280">
        <v>45584</v>
      </c>
      <c r="D56" s="279">
        <v>45585</v>
      </c>
      <c r="E56" s="279">
        <v>45586</v>
      </c>
      <c r="F56" s="132"/>
      <c r="G56" s="132" t="s">
        <v>1239</v>
      </c>
      <c r="H56" s="132" t="s">
        <v>373</v>
      </c>
      <c r="I56" s="132" t="s">
        <v>1100</v>
      </c>
      <c r="J56" s="132" t="s">
        <v>1101</v>
      </c>
      <c r="K56" s="132" t="s">
        <v>1102</v>
      </c>
      <c r="L56" s="132" t="s">
        <v>1103</v>
      </c>
      <c r="M56" s="132" t="s">
        <v>1240</v>
      </c>
      <c r="N56" s="132" t="s">
        <v>1105</v>
      </c>
      <c r="O56" s="132" t="s">
        <v>1241</v>
      </c>
      <c r="P56" s="132" t="s">
        <v>1204</v>
      </c>
      <c r="Q56" s="132" t="s">
        <v>1108</v>
      </c>
    </row>
    <row r="57" spans="1:17" x14ac:dyDescent="0.2">
      <c r="A57" t="s">
        <v>213</v>
      </c>
      <c r="B57" s="141">
        <f t="shared" si="0"/>
        <v>8.0400000000000009</v>
      </c>
      <c r="C57" s="280">
        <v>45584</v>
      </c>
      <c r="D57" s="279">
        <v>45585</v>
      </c>
      <c r="E57" s="279">
        <v>45586</v>
      </c>
      <c r="F57" s="132"/>
      <c r="G57" s="132" t="s">
        <v>1108</v>
      </c>
      <c r="H57" s="132" t="s">
        <v>373</v>
      </c>
      <c r="I57" s="132" t="s">
        <v>1100</v>
      </c>
      <c r="J57" s="132" t="s">
        <v>1171</v>
      </c>
      <c r="K57" s="132" t="s">
        <v>1225</v>
      </c>
      <c r="L57" s="132" t="s">
        <v>1226</v>
      </c>
      <c r="M57" s="132" t="s">
        <v>1242</v>
      </c>
      <c r="N57" s="132" t="s">
        <v>1117</v>
      </c>
      <c r="O57" s="132" t="s">
        <v>1243</v>
      </c>
      <c r="P57" s="132" t="s">
        <v>1204</v>
      </c>
      <c r="Q57" s="132" t="s">
        <v>1108</v>
      </c>
    </row>
    <row r="58" spans="1:17" x14ac:dyDescent="0.2">
      <c r="A58" t="s">
        <v>212</v>
      </c>
      <c r="B58" s="141">
        <f t="shared" si="0"/>
        <v>6.08</v>
      </c>
      <c r="C58" s="280">
        <v>45585</v>
      </c>
      <c r="D58" s="279">
        <v>45586</v>
      </c>
      <c r="E58" s="279">
        <v>45586</v>
      </c>
      <c r="F58" s="132"/>
      <c r="G58" s="132" t="s">
        <v>1108</v>
      </c>
      <c r="H58" s="132" t="s">
        <v>373</v>
      </c>
      <c r="I58" s="132" t="s">
        <v>1100</v>
      </c>
      <c r="J58" s="132" t="s">
        <v>1101</v>
      </c>
      <c r="K58" s="132" t="s">
        <v>1102</v>
      </c>
      <c r="L58" s="132" t="s">
        <v>1103</v>
      </c>
      <c r="M58" s="132" t="s">
        <v>1244</v>
      </c>
      <c r="N58" s="132" t="s">
        <v>1117</v>
      </c>
      <c r="O58" s="132" t="s">
        <v>1245</v>
      </c>
      <c r="P58" s="132" t="s">
        <v>1204</v>
      </c>
      <c r="Q58" s="132" t="s">
        <v>1108</v>
      </c>
    </row>
    <row r="59" spans="1:17" x14ac:dyDescent="0.2">
      <c r="A59" t="s">
        <v>212</v>
      </c>
      <c r="B59" s="141">
        <f t="shared" si="0"/>
        <v>6.08</v>
      </c>
      <c r="C59" s="280">
        <v>45585</v>
      </c>
      <c r="D59" s="279">
        <v>45586</v>
      </c>
      <c r="E59" s="279">
        <v>45586</v>
      </c>
      <c r="F59" s="132"/>
      <c r="G59" s="132" t="s">
        <v>1108</v>
      </c>
      <c r="H59" s="132" t="s">
        <v>373</v>
      </c>
      <c r="I59" s="132" t="s">
        <v>1100</v>
      </c>
      <c r="J59" s="132" t="s">
        <v>1101</v>
      </c>
      <c r="K59" s="132" t="s">
        <v>1102</v>
      </c>
      <c r="L59" s="132" t="s">
        <v>1103</v>
      </c>
      <c r="M59" s="132" t="s">
        <v>1246</v>
      </c>
      <c r="N59" s="132" t="s">
        <v>1117</v>
      </c>
      <c r="O59" s="132" t="s">
        <v>1247</v>
      </c>
      <c r="P59" s="132" t="s">
        <v>1204</v>
      </c>
      <c r="Q59" s="132" t="s">
        <v>1108</v>
      </c>
    </row>
    <row r="60" spans="1:17" x14ac:dyDescent="0.2">
      <c r="A60" t="s">
        <v>212</v>
      </c>
      <c r="B60" s="141">
        <f t="shared" si="0"/>
        <v>6.04</v>
      </c>
      <c r="C60" s="280">
        <v>45583</v>
      </c>
      <c r="D60" s="279">
        <v>45586</v>
      </c>
      <c r="E60" s="279">
        <v>45587</v>
      </c>
      <c r="F60" s="132"/>
      <c r="G60" s="132" t="s">
        <v>1108</v>
      </c>
      <c r="H60" s="132" t="s">
        <v>373</v>
      </c>
      <c r="I60" s="132" t="s">
        <v>1100</v>
      </c>
      <c r="J60" s="132" t="s">
        <v>1101</v>
      </c>
      <c r="K60" s="132" t="s">
        <v>1109</v>
      </c>
      <c r="L60" s="132" t="s">
        <v>1110</v>
      </c>
      <c r="M60" s="132" t="s">
        <v>1248</v>
      </c>
      <c r="N60" s="132" t="s">
        <v>1112</v>
      </c>
      <c r="O60" s="132" t="s">
        <v>1249</v>
      </c>
      <c r="P60" s="132" t="s">
        <v>1250</v>
      </c>
      <c r="Q60" s="132" t="s">
        <v>1108</v>
      </c>
    </row>
    <row r="61" spans="1:17" x14ac:dyDescent="0.2">
      <c r="A61" t="s">
        <v>212</v>
      </c>
      <c r="B61" s="141">
        <f t="shared" si="0"/>
        <v>6.04</v>
      </c>
      <c r="C61" s="280">
        <v>45584</v>
      </c>
      <c r="D61" s="279">
        <v>45586</v>
      </c>
      <c r="E61" s="279">
        <v>45587</v>
      </c>
      <c r="F61" s="132"/>
      <c r="G61" s="132" t="s">
        <v>1108</v>
      </c>
      <c r="H61" s="132" t="s">
        <v>373</v>
      </c>
      <c r="I61" s="132" t="s">
        <v>1100</v>
      </c>
      <c r="J61" s="132" t="s">
        <v>1101</v>
      </c>
      <c r="K61" s="132" t="s">
        <v>1109</v>
      </c>
      <c r="L61" s="132" t="s">
        <v>1110</v>
      </c>
      <c r="M61" s="132" t="s">
        <v>1251</v>
      </c>
      <c r="N61" s="132" t="s">
        <v>1112</v>
      </c>
      <c r="O61" s="132" t="s">
        <v>1252</v>
      </c>
      <c r="P61" s="132" t="s">
        <v>1250</v>
      </c>
      <c r="Q61" s="132" t="s">
        <v>1108</v>
      </c>
    </row>
    <row r="62" spans="1:17" x14ac:dyDescent="0.2">
      <c r="A62" t="s">
        <v>212</v>
      </c>
      <c r="B62" s="141">
        <f t="shared" si="0"/>
        <v>6.04</v>
      </c>
      <c r="C62" s="280">
        <v>45584</v>
      </c>
      <c r="D62" s="279">
        <v>45586</v>
      </c>
      <c r="E62" s="279">
        <v>45587</v>
      </c>
      <c r="F62" s="132"/>
      <c r="G62" s="132" t="s">
        <v>1108</v>
      </c>
      <c r="H62" s="132" t="s">
        <v>373</v>
      </c>
      <c r="I62" s="132" t="s">
        <v>1100</v>
      </c>
      <c r="J62" s="132" t="s">
        <v>1101</v>
      </c>
      <c r="K62" s="132" t="s">
        <v>1109</v>
      </c>
      <c r="L62" s="132" t="s">
        <v>1110</v>
      </c>
      <c r="M62" s="132" t="s">
        <v>1253</v>
      </c>
      <c r="N62" s="132" t="s">
        <v>1112</v>
      </c>
      <c r="O62" s="132" t="s">
        <v>1254</v>
      </c>
      <c r="P62" s="132" t="s">
        <v>1250</v>
      </c>
      <c r="Q62" s="132" t="s">
        <v>1108</v>
      </c>
    </row>
    <row r="63" spans="1:17" x14ac:dyDescent="0.2">
      <c r="A63" t="s">
        <v>213</v>
      </c>
      <c r="B63" s="141">
        <f t="shared" si="0"/>
        <v>7.99</v>
      </c>
      <c r="C63" s="280">
        <v>45584</v>
      </c>
      <c r="D63" s="279">
        <v>45586</v>
      </c>
      <c r="E63" s="279">
        <v>45587</v>
      </c>
      <c r="F63" s="132"/>
      <c r="G63" s="132" t="s">
        <v>1108</v>
      </c>
      <c r="H63" s="132" t="s">
        <v>373</v>
      </c>
      <c r="I63" s="132" t="s">
        <v>1100</v>
      </c>
      <c r="J63" s="132" t="s">
        <v>1171</v>
      </c>
      <c r="K63" s="132" t="s">
        <v>1172</v>
      </c>
      <c r="L63" s="132" t="s">
        <v>1173</v>
      </c>
      <c r="M63" s="132" t="s">
        <v>1255</v>
      </c>
      <c r="N63" s="132" t="s">
        <v>1112</v>
      </c>
      <c r="O63" s="132" t="s">
        <v>1256</v>
      </c>
      <c r="P63" s="132" t="s">
        <v>1250</v>
      </c>
      <c r="Q63" s="132" t="s">
        <v>1108</v>
      </c>
    </row>
    <row r="64" spans="1:17" x14ac:dyDescent="0.2">
      <c r="A64" t="s">
        <v>212</v>
      </c>
      <c r="B64" s="141">
        <f t="shared" si="0"/>
        <v>6.04</v>
      </c>
      <c r="C64" s="280">
        <v>45584</v>
      </c>
      <c r="D64" s="279">
        <v>45586</v>
      </c>
      <c r="E64" s="279">
        <v>45587</v>
      </c>
      <c r="F64" s="132"/>
      <c r="G64" s="132" t="s">
        <v>1108</v>
      </c>
      <c r="H64" s="132" t="s">
        <v>373</v>
      </c>
      <c r="I64" s="132" t="s">
        <v>1100</v>
      </c>
      <c r="J64" s="132" t="s">
        <v>1101</v>
      </c>
      <c r="K64" s="132" t="s">
        <v>1109</v>
      </c>
      <c r="L64" s="132" t="s">
        <v>1110</v>
      </c>
      <c r="M64" s="132" t="s">
        <v>1257</v>
      </c>
      <c r="N64" s="132" t="s">
        <v>1112</v>
      </c>
      <c r="O64" s="132" t="s">
        <v>1258</v>
      </c>
      <c r="P64" s="132" t="s">
        <v>1250</v>
      </c>
      <c r="Q64" s="132" t="s">
        <v>1108</v>
      </c>
    </row>
    <row r="65" spans="1:17" x14ac:dyDescent="0.2">
      <c r="A65" t="s">
        <v>212</v>
      </c>
      <c r="B65" s="141">
        <f t="shared" si="0"/>
        <v>6.04</v>
      </c>
      <c r="C65" s="280">
        <v>45585</v>
      </c>
      <c r="D65" s="279">
        <v>45586</v>
      </c>
      <c r="E65" s="279">
        <v>45587</v>
      </c>
      <c r="F65" s="132"/>
      <c r="G65" s="132" t="s">
        <v>1108</v>
      </c>
      <c r="H65" s="132" t="s">
        <v>373</v>
      </c>
      <c r="I65" s="132" t="s">
        <v>1100</v>
      </c>
      <c r="J65" s="132" t="s">
        <v>1101</v>
      </c>
      <c r="K65" s="132" t="s">
        <v>1109</v>
      </c>
      <c r="L65" s="132" t="s">
        <v>1110</v>
      </c>
      <c r="M65" s="132" t="s">
        <v>1259</v>
      </c>
      <c r="N65" s="132" t="s">
        <v>1112</v>
      </c>
      <c r="O65" s="132" t="s">
        <v>1260</v>
      </c>
      <c r="P65" s="132" t="s">
        <v>1250</v>
      </c>
      <c r="Q65" s="132" t="s">
        <v>1108</v>
      </c>
    </row>
    <row r="66" spans="1:17" x14ac:dyDescent="0.2">
      <c r="A66" t="s">
        <v>82</v>
      </c>
      <c r="B66" s="141">
        <f t="shared" si="0"/>
        <v>56.25</v>
      </c>
      <c r="C66" s="280">
        <v>45585</v>
      </c>
      <c r="D66" s="279">
        <v>45586</v>
      </c>
      <c r="E66" s="279">
        <v>45587</v>
      </c>
      <c r="F66" s="132"/>
      <c r="G66" s="132" t="s">
        <v>1108</v>
      </c>
      <c r="H66" s="132" t="s">
        <v>373</v>
      </c>
      <c r="I66" s="132" t="s">
        <v>1100</v>
      </c>
      <c r="J66" s="132" t="s">
        <v>1261</v>
      </c>
      <c r="K66" s="132" t="s">
        <v>1262</v>
      </c>
      <c r="L66" s="132" t="s">
        <v>1263</v>
      </c>
      <c r="M66" s="132" t="s">
        <v>1264</v>
      </c>
      <c r="N66" s="132" t="s">
        <v>1112</v>
      </c>
      <c r="O66" s="132" t="s">
        <v>1265</v>
      </c>
      <c r="P66" s="132" t="s">
        <v>1250</v>
      </c>
      <c r="Q66" s="132" t="s">
        <v>1108</v>
      </c>
    </row>
    <row r="67" spans="1:17" x14ac:dyDescent="0.2">
      <c r="A67" t="s">
        <v>212</v>
      </c>
      <c r="B67" s="141">
        <f t="shared" ref="B67:B130" si="1">_xlfn.NUMBERVALUE(L67)*0.01</f>
        <v>6.04</v>
      </c>
      <c r="C67" s="280">
        <v>45585</v>
      </c>
      <c r="D67" s="279">
        <v>45586</v>
      </c>
      <c r="E67" s="279">
        <v>45587</v>
      </c>
      <c r="F67" s="132"/>
      <c r="G67" s="132" t="s">
        <v>1108</v>
      </c>
      <c r="H67" s="132" t="s">
        <v>373</v>
      </c>
      <c r="I67" s="132" t="s">
        <v>1100</v>
      </c>
      <c r="J67" s="132" t="s">
        <v>1101</v>
      </c>
      <c r="K67" s="132" t="s">
        <v>1109</v>
      </c>
      <c r="L67" s="132" t="s">
        <v>1110</v>
      </c>
      <c r="M67" s="132" t="s">
        <v>1266</v>
      </c>
      <c r="N67" s="132" t="s">
        <v>1112</v>
      </c>
      <c r="O67" s="132" t="s">
        <v>1267</v>
      </c>
      <c r="P67" s="132" t="s">
        <v>1250</v>
      </c>
      <c r="Q67" s="132" t="s">
        <v>1108</v>
      </c>
    </row>
    <row r="68" spans="1:17" x14ac:dyDescent="0.2">
      <c r="A68" t="s">
        <v>213</v>
      </c>
      <c r="B68" s="141">
        <f t="shared" si="1"/>
        <v>8.0400000000000009</v>
      </c>
      <c r="C68" s="280">
        <v>45585</v>
      </c>
      <c r="D68" s="279">
        <v>45586</v>
      </c>
      <c r="E68" s="279">
        <v>45587</v>
      </c>
      <c r="F68" s="132"/>
      <c r="G68" s="132" t="s">
        <v>1108</v>
      </c>
      <c r="H68" s="132" t="s">
        <v>373</v>
      </c>
      <c r="I68" s="132" t="s">
        <v>1100</v>
      </c>
      <c r="J68" s="132" t="s">
        <v>1171</v>
      </c>
      <c r="K68" s="132" t="s">
        <v>1225</v>
      </c>
      <c r="L68" s="132" t="s">
        <v>1226</v>
      </c>
      <c r="M68" s="132" t="s">
        <v>1268</v>
      </c>
      <c r="N68" s="132" t="s">
        <v>1117</v>
      </c>
      <c r="O68" s="132" t="s">
        <v>1269</v>
      </c>
      <c r="P68" s="132" t="s">
        <v>1250</v>
      </c>
      <c r="Q68" s="132" t="s">
        <v>1108</v>
      </c>
    </row>
    <row r="69" spans="1:17" x14ac:dyDescent="0.2">
      <c r="A69" t="s">
        <v>212</v>
      </c>
      <c r="B69" s="141">
        <f t="shared" si="1"/>
        <v>6.08</v>
      </c>
      <c r="C69" s="280">
        <v>45585</v>
      </c>
      <c r="D69" s="279">
        <v>45586</v>
      </c>
      <c r="E69" s="279">
        <v>45587</v>
      </c>
      <c r="F69" s="132"/>
      <c r="G69" s="132" t="s">
        <v>1270</v>
      </c>
      <c r="H69" s="132" t="s">
        <v>373</v>
      </c>
      <c r="I69" s="132" t="s">
        <v>1100</v>
      </c>
      <c r="J69" s="132" t="s">
        <v>1101</v>
      </c>
      <c r="K69" s="132" t="s">
        <v>1102</v>
      </c>
      <c r="L69" s="132" t="s">
        <v>1103</v>
      </c>
      <c r="M69" s="132" t="s">
        <v>1271</v>
      </c>
      <c r="N69" s="132" t="s">
        <v>1105</v>
      </c>
      <c r="O69" s="132" t="s">
        <v>1272</v>
      </c>
      <c r="P69" s="132" t="s">
        <v>1250</v>
      </c>
      <c r="Q69" s="132" t="s">
        <v>1108</v>
      </c>
    </row>
    <row r="70" spans="1:17" x14ac:dyDescent="0.2">
      <c r="A70" t="s">
        <v>212</v>
      </c>
      <c r="B70" s="141">
        <f t="shared" si="1"/>
        <v>6.04</v>
      </c>
      <c r="C70" s="280">
        <v>45585</v>
      </c>
      <c r="D70" s="279">
        <v>45586</v>
      </c>
      <c r="E70" s="279">
        <v>45587</v>
      </c>
      <c r="F70" s="132"/>
      <c r="G70" s="132" t="s">
        <v>1108</v>
      </c>
      <c r="H70" s="132" t="s">
        <v>373</v>
      </c>
      <c r="I70" s="132" t="s">
        <v>1100</v>
      </c>
      <c r="J70" s="132" t="s">
        <v>1101</v>
      </c>
      <c r="K70" s="132" t="s">
        <v>1109</v>
      </c>
      <c r="L70" s="132" t="s">
        <v>1110</v>
      </c>
      <c r="M70" s="132" t="s">
        <v>1273</v>
      </c>
      <c r="N70" s="132" t="s">
        <v>1112</v>
      </c>
      <c r="O70" s="132" t="s">
        <v>1274</v>
      </c>
      <c r="P70" s="132" t="s">
        <v>1250</v>
      </c>
      <c r="Q70" s="132" t="s">
        <v>1108</v>
      </c>
    </row>
    <row r="71" spans="1:17" x14ac:dyDescent="0.2">
      <c r="A71" t="s">
        <v>212</v>
      </c>
      <c r="B71" s="141">
        <f t="shared" si="1"/>
        <v>6.04</v>
      </c>
      <c r="C71" s="280">
        <v>45585</v>
      </c>
      <c r="D71" s="279">
        <v>45586</v>
      </c>
      <c r="E71" s="279">
        <v>45587</v>
      </c>
      <c r="F71" s="132"/>
      <c r="G71" s="132" t="s">
        <v>1108</v>
      </c>
      <c r="H71" s="132" t="s">
        <v>373</v>
      </c>
      <c r="I71" s="132" t="s">
        <v>1100</v>
      </c>
      <c r="J71" s="132" t="s">
        <v>1101</v>
      </c>
      <c r="K71" s="132" t="s">
        <v>1109</v>
      </c>
      <c r="L71" s="132" t="s">
        <v>1110</v>
      </c>
      <c r="M71" s="132" t="s">
        <v>1276</v>
      </c>
      <c r="N71" s="132" t="s">
        <v>1112</v>
      </c>
      <c r="O71" s="132" t="s">
        <v>1277</v>
      </c>
      <c r="P71" s="132" t="s">
        <v>1250</v>
      </c>
      <c r="Q71" s="132" t="s">
        <v>1108</v>
      </c>
    </row>
    <row r="72" spans="1:17" x14ac:dyDescent="0.2">
      <c r="A72" t="s">
        <v>212</v>
      </c>
      <c r="B72" s="141">
        <f t="shared" si="1"/>
        <v>6.04</v>
      </c>
      <c r="C72" s="280">
        <v>45586</v>
      </c>
      <c r="D72" s="279">
        <v>45586</v>
      </c>
      <c r="E72" s="279">
        <v>45587</v>
      </c>
      <c r="F72" s="132"/>
      <c r="G72" s="132" t="s">
        <v>1108</v>
      </c>
      <c r="H72" s="132" t="s">
        <v>373</v>
      </c>
      <c r="I72" s="132" t="s">
        <v>1100</v>
      </c>
      <c r="J72" s="132" t="s">
        <v>1101</v>
      </c>
      <c r="K72" s="132" t="s">
        <v>1109</v>
      </c>
      <c r="L72" s="132" t="s">
        <v>1110</v>
      </c>
      <c r="M72" s="132" t="s">
        <v>1278</v>
      </c>
      <c r="N72" s="132" t="s">
        <v>1112</v>
      </c>
      <c r="O72" s="132" t="s">
        <v>1279</v>
      </c>
      <c r="P72" s="132" t="s">
        <v>1250</v>
      </c>
      <c r="Q72" s="132" t="s">
        <v>1108</v>
      </c>
    </row>
    <row r="73" spans="1:17" x14ac:dyDescent="0.2">
      <c r="A73" t="s">
        <v>212</v>
      </c>
      <c r="B73" s="141">
        <f t="shared" si="1"/>
        <v>6.04</v>
      </c>
      <c r="C73" s="280">
        <v>45586</v>
      </c>
      <c r="D73" s="279">
        <v>45586</v>
      </c>
      <c r="E73" s="279">
        <v>45587</v>
      </c>
      <c r="F73" s="132"/>
      <c r="G73" s="132" t="s">
        <v>1108</v>
      </c>
      <c r="H73" s="132" t="s">
        <v>373</v>
      </c>
      <c r="I73" s="132" t="s">
        <v>1100</v>
      </c>
      <c r="J73" s="132" t="s">
        <v>1101</v>
      </c>
      <c r="K73" s="132" t="s">
        <v>1109</v>
      </c>
      <c r="L73" s="132" t="s">
        <v>1110</v>
      </c>
      <c r="M73" s="132" t="s">
        <v>1280</v>
      </c>
      <c r="N73" s="132" t="s">
        <v>1112</v>
      </c>
      <c r="O73" s="132" t="s">
        <v>1281</v>
      </c>
      <c r="P73" s="132" t="s">
        <v>1250</v>
      </c>
      <c r="Q73" s="132" t="s">
        <v>1108</v>
      </c>
    </row>
    <row r="74" spans="1:17" x14ac:dyDescent="0.2">
      <c r="A74" t="s">
        <v>212</v>
      </c>
      <c r="B74" s="141">
        <f t="shared" si="1"/>
        <v>6.04</v>
      </c>
      <c r="C74" s="280">
        <v>45586</v>
      </c>
      <c r="D74" s="279">
        <v>45586</v>
      </c>
      <c r="E74" s="279">
        <v>45587</v>
      </c>
      <c r="F74" s="132"/>
      <c r="G74" s="132" t="s">
        <v>1108</v>
      </c>
      <c r="H74" s="132" t="s">
        <v>373</v>
      </c>
      <c r="I74" s="132" t="s">
        <v>1100</v>
      </c>
      <c r="J74" s="132" t="s">
        <v>1101</v>
      </c>
      <c r="K74" s="132" t="s">
        <v>1109</v>
      </c>
      <c r="L74" s="132" t="s">
        <v>1110</v>
      </c>
      <c r="M74" s="132" t="s">
        <v>1282</v>
      </c>
      <c r="N74" s="132" t="s">
        <v>1112</v>
      </c>
      <c r="O74" s="132" t="s">
        <v>1283</v>
      </c>
      <c r="P74" s="132" t="s">
        <v>1250</v>
      </c>
      <c r="Q74" s="132" t="s">
        <v>1108</v>
      </c>
    </row>
    <row r="75" spans="1:17" x14ac:dyDescent="0.2">
      <c r="A75" t="s">
        <v>212</v>
      </c>
      <c r="B75" s="141">
        <f t="shared" si="1"/>
        <v>6.04</v>
      </c>
      <c r="C75" s="280">
        <v>45586</v>
      </c>
      <c r="D75" s="279">
        <v>45586</v>
      </c>
      <c r="E75" s="279">
        <v>45587</v>
      </c>
      <c r="F75" s="132"/>
      <c r="G75" s="132" t="s">
        <v>1108</v>
      </c>
      <c r="H75" s="132" t="s">
        <v>373</v>
      </c>
      <c r="I75" s="132" t="s">
        <v>1100</v>
      </c>
      <c r="J75" s="132" t="s">
        <v>1101</v>
      </c>
      <c r="K75" s="132" t="s">
        <v>1109</v>
      </c>
      <c r="L75" s="132" t="s">
        <v>1110</v>
      </c>
      <c r="M75" s="132" t="s">
        <v>1284</v>
      </c>
      <c r="N75" s="132" t="s">
        <v>1112</v>
      </c>
      <c r="O75" s="132" t="s">
        <v>1285</v>
      </c>
      <c r="P75" s="132" t="s">
        <v>1250</v>
      </c>
      <c r="Q75" s="132" t="s">
        <v>1108</v>
      </c>
    </row>
    <row r="76" spans="1:17" x14ac:dyDescent="0.2">
      <c r="A76" t="s">
        <v>213</v>
      </c>
      <c r="B76" s="141">
        <f t="shared" si="1"/>
        <v>7.99</v>
      </c>
      <c r="C76" s="280">
        <v>45586</v>
      </c>
      <c r="D76" s="279">
        <v>45586</v>
      </c>
      <c r="E76" s="279">
        <v>45587</v>
      </c>
      <c r="F76" s="132"/>
      <c r="G76" s="132" t="s">
        <v>1108</v>
      </c>
      <c r="H76" s="132" t="s">
        <v>373</v>
      </c>
      <c r="I76" s="132" t="s">
        <v>1100</v>
      </c>
      <c r="J76" s="132" t="s">
        <v>1171</v>
      </c>
      <c r="K76" s="132" t="s">
        <v>1172</v>
      </c>
      <c r="L76" s="132" t="s">
        <v>1173</v>
      </c>
      <c r="M76" s="132" t="s">
        <v>1286</v>
      </c>
      <c r="N76" s="132" t="s">
        <v>1112</v>
      </c>
      <c r="O76" s="132" t="s">
        <v>1287</v>
      </c>
      <c r="P76" s="132" t="s">
        <v>1250</v>
      </c>
      <c r="Q76" s="132" t="s">
        <v>1108</v>
      </c>
    </row>
    <row r="77" spans="1:17" x14ac:dyDescent="0.2">
      <c r="A77" t="s">
        <v>212</v>
      </c>
      <c r="B77" s="141">
        <f t="shared" si="1"/>
        <v>6.04</v>
      </c>
      <c r="C77" s="280">
        <v>45586</v>
      </c>
      <c r="D77" s="279">
        <v>45586</v>
      </c>
      <c r="E77" s="279">
        <v>45587</v>
      </c>
      <c r="F77" s="132"/>
      <c r="G77" s="132" t="s">
        <v>1108</v>
      </c>
      <c r="H77" s="132" t="s">
        <v>373</v>
      </c>
      <c r="I77" s="132" t="s">
        <v>1100</v>
      </c>
      <c r="J77" s="132" t="s">
        <v>1101</v>
      </c>
      <c r="K77" s="132" t="s">
        <v>1109</v>
      </c>
      <c r="L77" s="132" t="s">
        <v>1110</v>
      </c>
      <c r="M77" s="132" t="s">
        <v>1288</v>
      </c>
      <c r="N77" s="132" t="s">
        <v>1112</v>
      </c>
      <c r="O77" s="132" t="s">
        <v>1289</v>
      </c>
      <c r="P77" s="132" t="s">
        <v>1250</v>
      </c>
      <c r="Q77" s="132" t="s">
        <v>1108</v>
      </c>
    </row>
    <row r="78" spans="1:17" x14ac:dyDescent="0.2">
      <c r="A78" t="s">
        <v>212</v>
      </c>
      <c r="B78" s="141">
        <f t="shared" si="1"/>
        <v>6.08</v>
      </c>
      <c r="C78" s="280">
        <v>45586</v>
      </c>
      <c r="D78" s="279">
        <v>45586</v>
      </c>
      <c r="E78" s="279">
        <v>45587</v>
      </c>
      <c r="F78" s="132"/>
      <c r="G78" s="132" t="s">
        <v>1290</v>
      </c>
      <c r="H78" s="132" t="s">
        <v>373</v>
      </c>
      <c r="I78" s="132" t="s">
        <v>1100</v>
      </c>
      <c r="J78" s="132" t="s">
        <v>1101</v>
      </c>
      <c r="K78" s="132" t="s">
        <v>1102</v>
      </c>
      <c r="L78" s="132" t="s">
        <v>1103</v>
      </c>
      <c r="M78" s="132" t="s">
        <v>1291</v>
      </c>
      <c r="N78" s="132" t="s">
        <v>1105</v>
      </c>
      <c r="O78" s="132" t="s">
        <v>1292</v>
      </c>
      <c r="P78" s="132" t="s">
        <v>1250</v>
      </c>
      <c r="Q78" s="132" t="s">
        <v>1108</v>
      </c>
    </row>
    <row r="79" spans="1:17" x14ac:dyDescent="0.2">
      <c r="A79" t="s">
        <v>212</v>
      </c>
      <c r="B79" s="141">
        <f t="shared" si="1"/>
        <v>6.04</v>
      </c>
      <c r="C79" s="280">
        <v>45586</v>
      </c>
      <c r="D79" s="279">
        <v>45586</v>
      </c>
      <c r="E79" s="279">
        <v>45587</v>
      </c>
      <c r="F79" s="132"/>
      <c r="G79" s="132" t="s">
        <v>1108</v>
      </c>
      <c r="H79" s="132" t="s">
        <v>373</v>
      </c>
      <c r="I79" s="132" t="s">
        <v>1100</v>
      </c>
      <c r="J79" s="132" t="s">
        <v>1101</v>
      </c>
      <c r="K79" s="132" t="s">
        <v>1109</v>
      </c>
      <c r="L79" s="132" t="s">
        <v>1110</v>
      </c>
      <c r="M79" s="281" t="s">
        <v>1293</v>
      </c>
      <c r="N79" s="132" t="s">
        <v>1112</v>
      </c>
      <c r="O79" s="132" t="s">
        <v>1294</v>
      </c>
      <c r="P79" s="132" t="s">
        <v>1250</v>
      </c>
      <c r="Q79" s="132" t="s">
        <v>1108</v>
      </c>
    </row>
    <row r="80" spans="1:17" x14ac:dyDescent="0.2">
      <c r="A80" t="s">
        <v>212</v>
      </c>
      <c r="B80" s="141">
        <f t="shared" si="1"/>
        <v>6.08</v>
      </c>
      <c r="C80" s="280">
        <v>45586</v>
      </c>
      <c r="D80" s="279">
        <v>45588</v>
      </c>
      <c r="E80" s="279">
        <v>45588</v>
      </c>
      <c r="F80" s="132"/>
      <c r="G80" s="132" t="s">
        <v>1108</v>
      </c>
      <c r="H80" s="132" t="s">
        <v>373</v>
      </c>
      <c r="I80" s="132" t="s">
        <v>1100</v>
      </c>
      <c r="J80" s="132" t="s">
        <v>1101</v>
      </c>
      <c r="K80" s="132" t="s">
        <v>1102</v>
      </c>
      <c r="L80" s="132" t="s">
        <v>1103</v>
      </c>
      <c r="M80" s="132" t="s">
        <v>1295</v>
      </c>
      <c r="N80" s="132" t="s">
        <v>1117</v>
      </c>
      <c r="O80" s="132" t="s">
        <v>1296</v>
      </c>
      <c r="P80" s="132" t="s">
        <v>1297</v>
      </c>
      <c r="Q80" s="132" t="s">
        <v>1108</v>
      </c>
    </row>
    <row r="81" spans="1:17" x14ac:dyDescent="0.2">
      <c r="A81" t="s">
        <v>212</v>
      </c>
      <c r="B81" s="141">
        <f t="shared" si="1"/>
        <v>6.08</v>
      </c>
      <c r="C81" s="280">
        <v>45586</v>
      </c>
      <c r="D81" s="279">
        <v>45587</v>
      </c>
      <c r="E81" s="279">
        <v>45588</v>
      </c>
      <c r="F81" s="132"/>
      <c r="G81" s="132" t="s">
        <v>1298</v>
      </c>
      <c r="H81" s="132" t="s">
        <v>373</v>
      </c>
      <c r="I81" s="132" t="s">
        <v>1100</v>
      </c>
      <c r="J81" s="132" t="s">
        <v>1101</v>
      </c>
      <c r="K81" s="132" t="s">
        <v>1102</v>
      </c>
      <c r="L81" s="132" t="s">
        <v>1103</v>
      </c>
      <c r="M81" s="132" t="s">
        <v>1299</v>
      </c>
      <c r="N81" s="132" t="s">
        <v>1105</v>
      </c>
      <c r="O81" s="132" t="s">
        <v>1300</v>
      </c>
      <c r="P81" s="132" t="s">
        <v>1297</v>
      </c>
      <c r="Q81" s="132" t="s">
        <v>1108</v>
      </c>
    </row>
    <row r="82" spans="1:17" x14ac:dyDescent="0.2">
      <c r="A82" t="s">
        <v>212</v>
      </c>
      <c r="B82" s="141">
        <f t="shared" si="1"/>
        <v>6.04</v>
      </c>
      <c r="C82" s="280">
        <v>45586</v>
      </c>
      <c r="D82" s="279">
        <v>45587</v>
      </c>
      <c r="E82" s="279">
        <v>45588</v>
      </c>
      <c r="F82" s="132"/>
      <c r="G82" s="132" t="s">
        <v>1108</v>
      </c>
      <c r="H82" s="132" t="s">
        <v>373</v>
      </c>
      <c r="I82" s="132" t="s">
        <v>1100</v>
      </c>
      <c r="J82" s="132" t="s">
        <v>1101</v>
      </c>
      <c r="K82" s="132" t="s">
        <v>1109</v>
      </c>
      <c r="L82" s="132" t="s">
        <v>1110</v>
      </c>
      <c r="M82" s="132" t="s">
        <v>1301</v>
      </c>
      <c r="N82" s="132" t="s">
        <v>1112</v>
      </c>
      <c r="O82" s="132" t="s">
        <v>1302</v>
      </c>
      <c r="P82" s="132" t="s">
        <v>1297</v>
      </c>
      <c r="Q82" s="132" t="s">
        <v>1108</v>
      </c>
    </row>
    <row r="83" spans="1:17" x14ac:dyDescent="0.2">
      <c r="A83" t="s">
        <v>212</v>
      </c>
      <c r="B83" s="141">
        <f t="shared" si="1"/>
        <v>6.08</v>
      </c>
      <c r="C83" s="280">
        <v>45586</v>
      </c>
      <c r="D83" s="279">
        <v>45587</v>
      </c>
      <c r="E83" s="279">
        <v>45588</v>
      </c>
      <c r="F83" s="132"/>
      <c r="G83" s="132" t="s">
        <v>1303</v>
      </c>
      <c r="H83" s="132" t="s">
        <v>373</v>
      </c>
      <c r="I83" s="132" t="s">
        <v>1100</v>
      </c>
      <c r="J83" s="132" t="s">
        <v>1101</v>
      </c>
      <c r="K83" s="132" t="s">
        <v>1102</v>
      </c>
      <c r="L83" s="132" t="s">
        <v>1103</v>
      </c>
      <c r="M83" s="132" t="s">
        <v>1304</v>
      </c>
      <c r="N83" s="132" t="s">
        <v>1105</v>
      </c>
      <c r="O83" s="132" t="s">
        <v>1305</v>
      </c>
      <c r="P83" s="132" t="s">
        <v>1297</v>
      </c>
      <c r="Q83" s="132" t="s">
        <v>1108</v>
      </c>
    </row>
    <row r="84" spans="1:17" x14ac:dyDescent="0.2">
      <c r="A84" t="s">
        <v>212</v>
      </c>
      <c r="B84" s="141">
        <f t="shared" si="1"/>
        <v>8.0400000000000009</v>
      </c>
      <c r="C84" s="280">
        <v>45586</v>
      </c>
      <c r="D84" s="279">
        <v>45587</v>
      </c>
      <c r="E84" s="279">
        <v>45588</v>
      </c>
      <c r="F84" s="132"/>
      <c r="G84" s="132" t="s">
        <v>1108</v>
      </c>
      <c r="H84" s="132" t="s">
        <v>373</v>
      </c>
      <c r="I84" s="132" t="s">
        <v>1100</v>
      </c>
      <c r="J84" s="132" t="s">
        <v>1171</v>
      </c>
      <c r="K84" s="132" t="s">
        <v>1225</v>
      </c>
      <c r="L84" s="132" t="s">
        <v>1226</v>
      </c>
      <c r="M84" s="132" t="s">
        <v>1306</v>
      </c>
      <c r="N84" s="132" t="s">
        <v>1117</v>
      </c>
      <c r="O84" s="132" t="s">
        <v>1307</v>
      </c>
      <c r="P84" s="132" t="s">
        <v>1297</v>
      </c>
      <c r="Q84" s="132" t="s">
        <v>1108</v>
      </c>
    </row>
    <row r="85" spans="1:17" x14ac:dyDescent="0.2">
      <c r="A85" t="s">
        <v>212</v>
      </c>
      <c r="B85" s="141">
        <f t="shared" si="1"/>
        <v>6.08</v>
      </c>
      <c r="C85" s="280">
        <v>45586</v>
      </c>
      <c r="D85" s="279">
        <v>45587</v>
      </c>
      <c r="E85" s="279">
        <v>45588</v>
      </c>
      <c r="F85" s="132"/>
      <c r="G85" s="132" t="s">
        <v>1108</v>
      </c>
      <c r="H85" s="132" t="s">
        <v>373</v>
      </c>
      <c r="I85" s="132" t="s">
        <v>1100</v>
      </c>
      <c r="J85" s="132" t="s">
        <v>1101</v>
      </c>
      <c r="K85" s="132" t="s">
        <v>1102</v>
      </c>
      <c r="L85" s="132" t="s">
        <v>1103</v>
      </c>
      <c r="M85" s="132" t="s">
        <v>1308</v>
      </c>
      <c r="N85" s="132" t="s">
        <v>1117</v>
      </c>
      <c r="O85" s="132" t="s">
        <v>1309</v>
      </c>
      <c r="P85" s="132" t="s">
        <v>1297</v>
      </c>
      <c r="Q85" s="132" t="s">
        <v>1108</v>
      </c>
    </row>
    <row r="86" spans="1:17" x14ac:dyDescent="0.2">
      <c r="A86" t="s">
        <v>212</v>
      </c>
      <c r="B86" s="141">
        <f t="shared" si="1"/>
        <v>6.04</v>
      </c>
      <c r="C86" s="280">
        <v>45587</v>
      </c>
      <c r="D86" s="279">
        <v>45587</v>
      </c>
      <c r="E86" s="279">
        <v>45588</v>
      </c>
      <c r="F86" s="132"/>
      <c r="G86" s="132" t="s">
        <v>1108</v>
      </c>
      <c r="H86" s="132" t="s">
        <v>373</v>
      </c>
      <c r="I86" s="132" t="s">
        <v>1100</v>
      </c>
      <c r="J86" s="132" t="s">
        <v>1101</v>
      </c>
      <c r="K86" s="132" t="s">
        <v>1109</v>
      </c>
      <c r="L86" s="132" t="s">
        <v>1110</v>
      </c>
      <c r="M86" s="132" t="s">
        <v>1310</v>
      </c>
      <c r="N86" s="132" t="s">
        <v>1112</v>
      </c>
      <c r="O86" s="132" t="s">
        <v>1311</v>
      </c>
      <c r="P86" s="132" t="s">
        <v>1297</v>
      </c>
      <c r="Q86" s="132" t="s">
        <v>1108</v>
      </c>
    </row>
    <row r="87" spans="1:17" x14ac:dyDescent="0.2">
      <c r="A87" t="s">
        <v>212</v>
      </c>
      <c r="B87" s="141">
        <f t="shared" si="1"/>
        <v>14.41</v>
      </c>
      <c r="C87" s="280">
        <v>45587</v>
      </c>
      <c r="D87" s="279">
        <v>45588</v>
      </c>
      <c r="E87" s="279">
        <v>45588</v>
      </c>
      <c r="F87" s="132"/>
      <c r="G87" s="132" t="s">
        <v>1312</v>
      </c>
      <c r="H87" s="132" t="s">
        <v>373</v>
      </c>
      <c r="I87" s="132" t="s">
        <v>1100</v>
      </c>
      <c r="J87" s="132" t="s">
        <v>1188</v>
      </c>
      <c r="K87" s="132" t="s">
        <v>1313</v>
      </c>
      <c r="L87" s="132" t="s">
        <v>1314</v>
      </c>
      <c r="M87" s="132" t="s">
        <v>1315</v>
      </c>
      <c r="N87" s="132" t="s">
        <v>1105</v>
      </c>
      <c r="O87" s="132" t="s">
        <v>1316</v>
      </c>
      <c r="P87" s="132" t="s">
        <v>1297</v>
      </c>
      <c r="Q87" s="132" t="s">
        <v>1108</v>
      </c>
    </row>
    <row r="88" spans="1:17" x14ac:dyDescent="0.2">
      <c r="A88" t="s">
        <v>212</v>
      </c>
      <c r="B88" s="141">
        <f t="shared" si="1"/>
        <v>6.08</v>
      </c>
      <c r="C88" s="280">
        <v>45587</v>
      </c>
      <c r="D88" s="279">
        <v>45587</v>
      </c>
      <c r="E88" s="279">
        <v>45588</v>
      </c>
      <c r="F88" s="132"/>
      <c r="G88" s="132" t="s">
        <v>1317</v>
      </c>
      <c r="H88" s="132" t="s">
        <v>373</v>
      </c>
      <c r="I88" s="132" t="s">
        <v>1100</v>
      </c>
      <c r="J88" s="132" t="s">
        <v>1101</v>
      </c>
      <c r="K88" s="132" t="s">
        <v>1102</v>
      </c>
      <c r="L88" s="132" t="s">
        <v>1103</v>
      </c>
      <c r="M88" s="132" t="s">
        <v>1318</v>
      </c>
      <c r="N88" s="132" t="s">
        <v>1105</v>
      </c>
      <c r="O88" s="132" t="s">
        <v>1319</v>
      </c>
      <c r="P88" s="132" t="s">
        <v>1297</v>
      </c>
      <c r="Q88" s="132" t="s">
        <v>1108</v>
      </c>
    </row>
    <row r="89" spans="1:17" x14ac:dyDescent="0.2">
      <c r="A89" t="s">
        <v>212</v>
      </c>
      <c r="B89" s="141">
        <f t="shared" si="1"/>
        <v>8.0400000000000009</v>
      </c>
      <c r="C89" s="280">
        <v>45587</v>
      </c>
      <c r="D89" s="279">
        <v>45589</v>
      </c>
      <c r="E89" s="279">
        <v>45589</v>
      </c>
      <c r="F89" s="132"/>
      <c r="G89" s="132" t="s">
        <v>1320</v>
      </c>
      <c r="H89" s="132" t="s">
        <v>373</v>
      </c>
      <c r="I89" s="132" t="s">
        <v>1100</v>
      </c>
      <c r="J89" s="132" t="s">
        <v>1171</v>
      </c>
      <c r="K89" s="132" t="s">
        <v>1225</v>
      </c>
      <c r="L89" s="132" t="s">
        <v>1226</v>
      </c>
      <c r="M89" s="132" t="s">
        <v>1321</v>
      </c>
      <c r="N89" s="132" t="s">
        <v>1105</v>
      </c>
      <c r="O89" s="132" t="s">
        <v>1322</v>
      </c>
      <c r="P89" s="132" t="s">
        <v>1323</v>
      </c>
      <c r="Q89" s="132" t="s">
        <v>1108</v>
      </c>
    </row>
    <row r="90" spans="1:17" x14ac:dyDescent="0.2">
      <c r="A90" t="s">
        <v>212</v>
      </c>
      <c r="B90" s="141">
        <f t="shared" si="1"/>
        <v>6.08</v>
      </c>
      <c r="C90" s="280">
        <v>45587</v>
      </c>
      <c r="D90" s="279">
        <v>45588</v>
      </c>
      <c r="E90" s="279">
        <v>45589</v>
      </c>
      <c r="F90" s="132"/>
      <c r="G90" s="132" t="s">
        <v>1324</v>
      </c>
      <c r="H90" s="132" t="s">
        <v>373</v>
      </c>
      <c r="I90" s="132" t="s">
        <v>1100</v>
      </c>
      <c r="J90" s="132" t="s">
        <v>1101</v>
      </c>
      <c r="K90" s="132" t="s">
        <v>1102</v>
      </c>
      <c r="L90" s="132" t="s">
        <v>1103</v>
      </c>
      <c r="M90" s="132" t="s">
        <v>1325</v>
      </c>
      <c r="N90" s="132" t="s">
        <v>1105</v>
      </c>
      <c r="O90" s="132" t="s">
        <v>1326</v>
      </c>
      <c r="P90" s="132" t="s">
        <v>1323</v>
      </c>
      <c r="Q90" s="132" t="s">
        <v>1108</v>
      </c>
    </row>
    <row r="91" spans="1:17" x14ac:dyDescent="0.2">
      <c r="A91" t="s">
        <v>212</v>
      </c>
      <c r="B91" s="141">
        <f t="shared" si="1"/>
        <v>6.08</v>
      </c>
      <c r="C91" s="280">
        <v>45587</v>
      </c>
      <c r="D91" s="279">
        <v>45589</v>
      </c>
      <c r="E91" s="279">
        <v>45589</v>
      </c>
      <c r="F91" s="132"/>
      <c r="G91" s="132" t="s">
        <v>1327</v>
      </c>
      <c r="H91" s="132" t="s">
        <v>373</v>
      </c>
      <c r="I91" s="132" t="s">
        <v>1100</v>
      </c>
      <c r="J91" s="132" t="s">
        <v>1101</v>
      </c>
      <c r="K91" s="132" t="s">
        <v>1102</v>
      </c>
      <c r="L91" s="132" t="s">
        <v>1103</v>
      </c>
      <c r="M91" s="132" t="s">
        <v>1328</v>
      </c>
      <c r="N91" s="132" t="s">
        <v>1105</v>
      </c>
      <c r="O91" s="132" t="s">
        <v>1329</v>
      </c>
      <c r="P91" s="132" t="s">
        <v>1323</v>
      </c>
      <c r="Q91" s="132" t="s">
        <v>1108</v>
      </c>
    </row>
    <row r="92" spans="1:17" x14ac:dyDescent="0.2">
      <c r="A92" t="s">
        <v>212</v>
      </c>
      <c r="B92" s="141">
        <f t="shared" si="1"/>
        <v>6.08</v>
      </c>
      <c r="C92" s="280">
        <v>45587</v>
      </c>
      <c r="D92" s="279">
        <v>45589</v>
      </c>
      <c r="E92" s="279">
        <v>45589</v>
      </c>
      <c r="F92" s="132"/>
      <c r="G92" s="132" t="s">
        <v>1331</v>
      </c>
      <c r="H92" s="132" t="s">
        <v>373</v>
      </c>
      <c r="I92" s="132" t="s">
        <v>1100</v>
      </c>
      <c r="J92" s="132" t="s">
        <v>1101</v>
      </c>
      <c r="K92" s="132" t="s">
        <v>1102</v>
      </c>
      <c r="L92" s="132" t="s">
        <v>1103</v>
      </c>
      <c r="M92" s="132" t="s">
        <v>1332</v>
      </c>
      <c r="N92" s="132" t="s">
        <v>1105</v>
      </c>
      <c r="O92" s="132" t="s">
        <v>1333</v>
      </c>
      <c r="P92" s="132" t="s">
        <v>1323</v>
      </c>
      <c r="Q92" s="132" t="s">
        <v>1108</v>
      </c>
    </row>
    <row r="93" spans="1:17" x14ac:dyDescent="0.2">
      <c r="A93" t="s">
        <v>212</v>
      </c>
      <c r="B93" s="141">
        <f t="shared" si="1"/>
        <v>14.41</v>
      </c>
      <c r="C93" s="280">
        <v>45587</v>
      </c>
      <c r="D93" s="279">
        <v>45588</v>
      </c>
      <c r="E93" s="279">
        <v>45589</v>
      </c>
      <c r="F93" s="132"/>
      <c r="G93" s="132" t="s">
        <v>1108</v>
      </c>
      <c r="H93" s="132" t="s">
        <v>373</v>
      </c>
      <c r="I93" s="132" t="s">
        <v>1100</v>
      </c>
      <c r="J93" s="132" t="s">
        <v>1188</v>
      </c>
      <c r="K93" s="132" t="s">
        <v>1313</v>
      </c>
      <c r="L93" s="132" t="s">
        <v>1314</v>
      </c>
      <c r="M93" s="132" t="s">
        <v>1334</v>
      </c>
      <c r="N93" s="132" t="s">
        <v>1117</v>
      </c>
      <c r="O93" s="132" t="s">
        <v>1335</v>
      </c>
      <c r="P93" s="132" t="s">
        <v>1323</v>
      </c>
      <c r="Q93" s="132" t="s">
        <v>1108</v>
      </c>
    </row>
    <row r="94" spans="1:17" x14ac:dyDescent="0.2">
      <c r="A94" t="s">
        <v>212</v>
      </c>
      <c r="B94" s="141">
        <f t="shared" si="1"/>
        <v>6.08</v>
      </c>
      <c r="C94" s="280">
        <v>45587</v>
      </c>
      <c r="D94" s="279">
        <v>45588</v>
      </c>
      <c r="E94" s="279">
        <v>45589</v>
      </c>
      <c r="F94" s="132"/>
      <c r="G94" s="132" t="s">
        <v>1336</v>
      </c>
      <c r="H94" s="132" t="s">
        <v>373</v>
      </c>
      <c r="I94" s="132" t="s">
        <v>1100</v>
      </c>
      <c r="J94" s="132" t="s">
        <v>1101</v>
      </c>
      <c r="K94" s="132" t="s">
        <v>1102</v>
      </c>
      <c r="L94" s="132" t="s">
        <v>1103</v>
      </c>
      <c r="M94" s="132" t="s">
        <v>1337</v>
      </c>
      <c r="N94" s="132" t="s">
        <v>1105</v>
      </c>
      <c r="O94" s="132" t="s">
        <v>1338</v>
      </c>
      <c r="P94" s="132" t="s">
        <v>1323</v>
      </c>
      <c r="Q94" s="132" t="s">
        <v>1108</v>
      </c>
    </row>
    <row r="95" spans="1:17" x14ac:dyDescent="0.2">
      <c r="A95" t="s">
        <v>212</v>
      </c>
      <c r="B95" s="141">
        <f t="shared" si="1"/>
        <v>6.08</v>
      </c>
      <c r="C95" s="280">
        <v>45588</v>
      </c>
      <c r="D95" s="279">
        <v>45589</v>
      </c>
      <c r="E95" s="279">
        <v>45589</v>
      </c>
      <c r="F95" s="132"/>
      <c r="G95" s="132" t="s">
        <v>1108</v>
      </c>
      <c r="H95" s="132" t="s">
        <v>373</v>
      </c>
      <c r="I95" s="132" t="s">
        <v>1100</v>
      </c>
      <c r="J95" s="132" t="s">
        <v>1101</v>
      </c>
      <c r="K95" s="132" t="s">
        <v>1102</v>
      </c>
      <c r="L95" s="132" t="s">
        <v>1103</v>
      </c>
      <c r="M95" s="132" t="s">
        <v>1339</v>
      </c>
      <c r="N95" s="132" t="s">
        <v>1117</v>
      </c>
      <c r="O95" s="132" t="s">
        <v>1340</v>
      </c>
      <c r="P95" s="132" t="s">
        <v>1323</v>
      </c>
      <c r="Q95" s="132" t="s">
        <v>1108</v>
      </c>
    </row>
    <row r="96" spans="1:17" x14ac:dyDescent="0.2">
      <c r="A96" t="s">
        <v>212</v>
      </c>
      <c r="B96" s="141">
        <f t="shared" si="1"/>
        <v>6.04</v>
      </c>
      <c r="C96" s="280">
        <v>45588</v>
      </c>
      <c r="D96" s="279">
        <v>45588</v>
      </c>
      <c r="E96" s="279">
        <v>45589</v>
      </c>
      <c r="F96" s="132"/>
      <c r="G96" s="132" t="s">
        <v>1108</v>
      </c>
      <c r="H96" s="132" t="s">
        <v>373</v>
      </c>
      <c r="I96" s="132" t="s">
        <v>1100</v>
      </c>
      <c r="J96" s="132" t="s">
        <v>1101</v>
      </c>
      <c r="K96" s="132" t="s">
        <v>1109</v>
      </c>
      <c r="L96" s="132" t="s">
        <v>1110</v>
      </c>
      <c r="M96" s="132" t="s">
        <v>1341</v>
      </c>
      <c r="N96" s="132" t="s">
        <v>1112</v>
      </c>
      <c r="O96" s="132" t="s">
        <v>1342</v>
      </c>
      <c r="P96" s="132" t="s">
        <v>1323</v>
      </c>
      <c r="Q96" s="132" t="s">
        <v>1108</v>
      </c>
    </row>
    <row r="97" spans="1:17" x14ac:dyDescent="0.2">
      <c r="A97" t="s">
        <v>212</v>
      </c>
      <c r="B97" s="141">
        <f t="shared" si="1"/>
        <v>6.04</v>
      </c>
      <c r="C97" s="280">
        <v>45588</v>
      </c>
      <c r="D97" s="279">
        <v>45588</v>
      </c>
      <c r="E97" s="279">
        <v>45589</v>
      </c>
      <c r="F97" s="132"/>
      <c r="G97" s="132" t="s">
        <v>1108</v>
      </c>
      <c r="H97" s="132" t="s">
        <v>373</v>
      </c>
      <c r="I97" s="132" t="s">
        <v>1100</v>
      </c>
      <c r="J97" s="132" t="s">
        <v>1101</v>
      </c>
      <c r="K97" s="132" t="s">
        <v>1109</v>
      </c>
      <c r="L97" s="132" t="s">
        <v>1110</v>
      </c>
      <c r="M97" s="132" t="s">
        <v>1344</v>
      </c>
      <c r="N97" s="132" t="s">
        <v>1112</v>
      </c>
      <c r="O97" s="132" t="s">
        <v>1345</v>
      </c>
      <c r="P97" s="132" t="s">
        <v>1323</v>
      </c>
      <c r="Q97" s="132" t="s">
        <v>1108</v>
      </c>
    </row>
    <row r="98" spans="1:17" x14ac:dyDescent="0.2">
      <c r="A98" t="s">
        <v>212</v>
      </c>
      <c r="B98" s="141">
        <f t="shared" si="1"/>
        <v>8.0400000000000009</v>
      </c>
      <c r="C98" s="280">
        <v>45588</v>
      </c>
      <c r="D98" s="279">
        <v>45589</v>
      </c>
      <c r="E98" s="279">
        <v>45589</v>
      </c>
      <c r="F98" s="132"/>
      <c r="G98" s="132" t="s">
        <v>1346</v>
      </c>
      <c r="H98" s="132" t="s">
        <v>373</v>
      </c>
      <c r="I98" s="132" t="s">
        <v>1100</v>
      </c>
      <c r="J98" s="132" t="s">
        <v>1171</v>
      </c>
      <c r="K98" s="132" t="s">
        <v>1225</v>
      </c>
      <c r="L98" s="132" t="s">
        <v>1226</v>
      </c>
      <c r="M98" s="132" t="s">
        <v>1347</v>
      </c>
      <c r="N98" s="132" t="s">
        <v>1105</v>
      </c>
      <c r="O98" s="132" t="s">
        <v>1348</v>
      </c>
      <c r="P98" s="132" t="s">
        <v>1323</v>
      </c>
      <c r="Q98" s="132" t="s">
        <v>1108</v>
      </c>
    </row>
    <row r="99" spans="1:17" x14ac:dyDescent="0.2">
      <c r="A99" t="s">
        <v>212</v>
      </c>
      <c r="B99" s="141">
        <f t="shared" si="1"/>
        <v>6.04</v>
      </c>
      <c r="C99" s="280">
        <v>45588</v>
      </c>
      <c r="D99" s="279">
        <v>45589</v>
      </c>
      <c r="E99" s="279">
        <v>45590</v>
      </c>
      <c r="F99" s="132"/>
      <c r="G99" s="132" t="s">
        <v>1108</v>
      </c>
      <c r="H99" s="132" t="s">
        <v>373</v>
      </c>
      <c r="I99" s="132" t="s">
        <v>1100</v>
      </c>
      <c r="J99" s="132" t="s">
        <v>1101</v>
      </c>
      <c r="K99" s="132" t="s">
        <v>1109</v>
      </c>
      <c r="L99" s="132" t="s">
        <v>1110</v>
      </c>
      <c r="M99" s="132" t="s">
        <v>1349</v>
      </c>
      <c r="N99" s="132" t="s">
        <v>1112</v>
      </c>
      <c r="O99" s="132" t="s">
        <v>1350</v>
      </c>
      <c r="P99" s="132" t="s">
        <v>1351</v>
      </c>
      <c r="Q99" s="132" t="s">
        <v>1108</v>
      </c>
    </row>
    <row r="100" spans="1:17" x14ac:dyDescent="0.2">
      <c r="A100" t="s">
        <v>212</v>
      </c>
      <c r="B100" s="141">
        <f t="shared" si="1"/>
        <v>14.41</v>
      </c>
      <c r="C100" s="280">
        <v>45588</v>
      </c>
      <c r="D100" s="279">
        <v>45589</v>
      </c>
      <c r="E100" s="279">
        <v>45590</v>
      </c>
      <c r="F100" s="132"/>
      <c r="G100" s="132" t="s">
        <v>1352</v>
      </c>
      <c r="H100" s="132" t="s">
        <v>373</v>
      </c>
      <c r="I100" s="132" t="s">
        <v>1100</v>
      </c>
      <c r="J100" s="132" t="s">
        <v>1188</v>
      </c>
      <c r="K100" s="132" t="s">
        <v>1313</v>
      </c>
      <c r="L100" s="132" t="s">
        <v>1314</v>
      </c>
      <c r="M100" s="132" t="s">
        <v>1353</v>
      </c>
      <c r="N100" s="132" t="s">
        <v>1105</v>
      </c>
      <c r="O100" s="132" t="s">
        <v>1354</v>
      </c>
      <c r="P100" s="132" t="s">
        <v>1351</v>
      </c>
      <c r="Q100" s="132" t="s">
        <v>1108</v>
      </c>
    </row>
    <row r="101" spans="1:17" x14ac:dyDescent="0.2">
      <c r="A101" t="s">
        <v>212</v>
      </c>
      <c r="B101" s="141">
        <f t="shared" si="1"/>
        <v>6.08</v>
      </c>
      <c r="C101" s="280">
        <v>45588</v>
      </c>
      <c r="D101" s="279">
        <v>45589</v>
      </c>
      <c r="E101" s="279">
        <v>45590</v>
      </c>
      <c r="F101" s="132"/>
      <c r="G101" s="132" t="s">
        <v>1108</v>
      </c>
      <c r="H101" s="132" t="s">
        <v>373</v>
      </c>
      <c r="I101" s="132" t="s">
        <v>1100</v>
      </c>
      <c r="J101" s="132" t="s">
        <v>1101</v>
      </c>
      <c r="K101" s="132" t="s">
        <v>1102</v>
      </c>
      <c r="L101" s="132" t="s">
        <v>1103</v>
      </c>
      <c r="M101" s="132" t="s">
        <v>1355</v>
      </c>
      <c r="N101" s="132" t="s">
        <v>1117</v>
      </c>
      <c r="O101" s="132" t="s">
        <v>1356</v>
      </c>
      <c r="P101" s="132" t="s">
        <v>1351</v>
      </c>
      <c r="Q101" s="132" t="s">
        <v>1108</v>
      </c>
    </row>
    <row r="102" spans="1:17" x14ac:dyDescent="0.2">
      <c r="A102" t="s">
        <v>213</v>
      </c>
      <c r="B102" s="141">
        <f t="shared" si="1"/>
        <v>7.94</v>
      </c>
      <c r="C102" s="280">
        <v>45582</v>
      </c>
      <c r="D102" s="279">
        <v>45590</v>
      </c>
      <c r="E102" s="279">
        <v>45591</v>
      </c>
      <c r="F102" s="132"/>
      <c r="G102" s="132" t="s">
        <v>1357</v>
      </c>
      <c r="H102" s="132" t="s">
        <v>373</v>
      </c>
      <c r="I102" s="132" t="s">
        <v>1100</v>
      </c>
      <c r="J102" s="132" t="s">
        <v>1171</v>
      </c>
      <c r="K102" s="132" t="s">
        <v>1358</v>
      </c>
      <c r="L102" s="132" t="s">
        <v>1359</v>
      </c>
      <c r="M102" s="132" t="s">
        <v>1360</v>
      </c>
      <c r="N102" s="132" t="s">
        <v>1105</v>
      </c>
      <c r="O102" s="132" t="s">
        <v>1361</v>
      </c>
      <c r="P102" s="132" t="s">
        <v>1362</v>
      </c>
      <c r="Q102" s="132" t="s">
        <v>1108</v>
      </c>
    </row>
    <row r="103" spans="1:17" x14ac:dyDescent="0.2">
      <c r="A103" t="s">
        <v>212</v>
      </c>
      <c r="B103" s="141">
        <f t="shared" si="1"/>
        <v>6.08</v>
      </c>
      <c r="C103" s="280">
        <v>45589</v>
      </c>
      <c r="D103" s="279">
        <v>45590</v>
      </c>
      <c r="E103" s="279">
        <v>45591</v>
      </c>
      <c r="F103" s="132"/>
      <c r="G103" s="132" t="s">
        <v>1108</v>
      </c>
      <c r="H103" s="132" t="s">
        <v>373</v>
      </c>
      <c r="I103" s="132" t="s">
        <v>1100</v>
      </c>
      <c r="J103" s="132" t="s">
        <v>1101</v>
      </c>
      <c r="K103" s="132" t="s">
        <v>1102</v>
      </c>
      <c r="L103" s="132" t="s">
        <v>1103</v>
      </c>
      <c r="M103" s="132" t="s">
        <v>1363</v>
      </c>
      <c r="N103" s="132" t="s">
        <v>1117</v>
      </c>
      <c r="O103" s="281" t="s">
        <v>1364</v>
      </c>
      <c r="P103" s="132" t="s">
        <v>1362</v>
      </c>
      <c r="Q103" s="132" t="s">
        <v>1108</v>
      </c>
    </row>
    <row r="104" spans="1:17" x14ac:dyDescent="0.2">
      <c r="A104" t="s">
        <v>212</v>
      </c>
      <c r="B104" s="141">
        <f t="shared" si="1"/>
        <v>6.08</v>
      </c>
      <c r="C104" s="280">
        <v>45589</v>
      </c>
      <c r="D104" s="279">
        <v>45590</v>
      </c>
      <c r="E104" s="279">
        <v>45591</v>
      </c>
      <c r="F104" s="132"/>
      <c r="G104" s="132" t="s">
        <v>1108</v>
      </c>
      <c r="H104" s="132" t="s">
        <v>373</v>
      </c>
      <c r="I104" s="132" t="s">
        <v>1100</v>
      </c>
      <c r="J104" s="132" t="s">
        <v>1101</v>
      </c>
      <c r="K104" s="132" t="s">
        <v>1102</v>
      </c>
      <c r="L104" s="132" t="s">
        <v>1103</v>
      </c>
      <c r="M104" s="132" t="s">
        <v>1365</v>
      </c>
      <c r="N104" s="132" t="s">
        <v>1117</v>
      </c>
      <c r="O104" s="132" t="s">
        <v>1366</v>
      </c>
      <c r="P104" s="132" t="s">
        <v>1362</v>
      </c>
      <c r="Q104" s="132" t="s">
        <v>1108</v>
      </c>
    </row>
    <row r="105" spans="1:17" x14ac:dyDescent="0.2">
      <c r="A105" t="s">
        <v>212</v>
      </c>
      <c r="B105" s="141">
        <f t="shared" si="1"/>
        <v>6.04</v>
      </c>
      <c r="C105" s="280">
        <v>45589</v>
      </c>
      <c r="D105" s="279">
        <v>45590</v>
      </c>
      <c r="E105" s="279">
        <v>45591</v>
      </c>
      <c r="F105" s="132"/>
      <c r="G105" s="132" t="s">
        <v>1108</v>
      </c>
      <c r="H105" s="132" t="s">
        <v>373</v>
      </c>
      <c r="I105" s="132" t="s">
        <v>1100</v>
      </c>
      <c r="J105" s="132" t="s">
        <v>1101</v>
      </c>
      <c r="K105" s="132" t="s">
        <v>1109</v>
      </c>
      <c r="L105" s="132" t="s">
        <v>1110</v>
      </c>
      <c r="M105" s="132" t="s">
        <v>1367</v>
      </c>
      <c r="N105" s="132" t="s">
        <v>1112</v>
      </c>
      <c r="O105" s="132" t="s">
        <v>1368</v>
      </c>
      <c r="P105" s="132" t="s">
        <v>1362</v>
      </c>
      <c r="Q105" s="132" t="s">
        <v>1108</v>
      </c>
    </row>
    <row r="106" spans="1:17" x14ac:dyDescent="0.2">
      <c r="A106" t="s">
        <v>212</v>
      </c>
      <c r="B106" s="141">
        <f t="shared" si="1"/>
        <v>6.08</v>
      </c>
      <c r="C106" s="280">
        <v>45589</v>
      </c>
      <c r="D106" s="279">
        <v>45590</v>
      </c>
      <c r="E106" s="279">
        <v>45591</v>
      </c>
      <c r="F106" s="132"/>
      <c r="G106" s="132" t="s">
        <v>1108</v>
      </c>
      <c r="H106" s="132" t="s">
        <v>373</v>
      </c>
      <c r="I106" s="132" t="s">
        <v>1100</v>
      </c>
      <c r="J106" s="132" t="s">
        <v>1101</v>
      </c>
      <c r="K106" s="132" t="s">
        <v>1102</v>
      </c>
      <c r="L106" s="132" t="s">
        <v>1103</v>
      </c>
      <c r="M106" s="132" t="s">
        <v>1370</v>
      </c>
      <c r="N106" s="132" t="s">
        <v>1117</v>
      </c>
      <c r="O106" s="132" t="s">
        <v>1371</v>
      </c>
      <c r="P106" s="132" t="s">
        <v>1362</v>
      </c>
      <c r="Q106" s="132" t="s">
        <v>1108</v>
      </c>
    </row>
    <row r="107" spans="1:17" x14ac:dyDescent="0.2">
      <c r="A107" t="s">
        <v>213</v>
      </c>
      <c r="B107" s="141">
        <f t="shared" si="1"/>
        <v>7.99</v>
      </c>
      <c r="C107" s="280">
        <v>45589</v>
      </c>
      <c r="D107" s="279">
        <v>45590</v>
      </c>
      <c r="E107" s="279">
        <v>45591</v>
      </c>
      <c r="F107" s="132"/>
      <c r="G107" s="132" t="s">
        <v>1108</v>
      </c>
      <c r="H107" s="132" t="s">
        <v>373</v>
      </c>
      <c r="I107" s="132" t="s">
        <v>1100</v>
      </c>
      <c r="J107" s="132" t="s">
        <v>1171</v>
      </c>
      <c r="K107" s="132" t="s">
        <v>1172</v>
      </c>
      <c r="L107" s="132" t="s">
        <v>1173</v>
      </c>
      <c r="M107" s="132" t="s">
        <v>1372</v>
      </c>
      <c r="N107" s="132" t="s">
        <v>1112</v>
      </c>
      <c r="O107" s="132" t="s">
        <v>1373</v>
      </c>
      <c r="P107" s="132" t="s">
        <v>1362</v>
      </c>
      <c r="Q107" s="132" t="s">
        <v>1108</v>
      </c>
    </row>
    <row r="108" spans="1:17" x14ac:dyDescent="0.2">
      <c r="A108" t="s">
        <v>212</v>
      </c>
      <c r="B108" s="141">
        <f t="shared" si="1"/>
        <v>6.08</v>
      </c>
      <c r="C108" s="280">
        <v>45589</v>
      </c>
      <c r="D108" s="279">
        <v>45590</v>
      </c>
      <c r="E108" s="279">
        <v>45591</v>
      </c>
      <c r="F108" s="132"/>
      <c r="G108" s="132" t="s">
        <v>1108</v>
      </c>
      <c r="H108" s="132" t="s">
        <v>373</v>
      </c>
      <c r="I108" s="132" t="s">
        <v>1100</v>
      </c>
      <c r="J108" s="132" t="s">
        <v>1101</v>
      </c>
      <c r="K108" s="132" t="s">
        <v>1102</v>
      </c>
      <c r="L108" s="132" t="s">
        <v>1103</v>
      </c>
      <c r="M108" s="132" t="s">
        <v>1374</v>
      </c>
      <c r="N108" s="132" t="s">
        <v>1117</v>
      </c>
      <c r="O108" s="132" t="s">
        <v>1375</v>
      </c>
      <c r="P108" s="132" t="s">
        <v>1362</v>
      </c>
      <c r="Q108" s="132" t="s">
        <v>1108</v>
      </c>
    </row>
    <row r="109" spans="1:17" x14ac:dyDescent="0.2">
      <c r="A109" t="s">
        <v>212</v>
      </c>
      <c r="B109" s="141">
        <f t="shared" si="1"/>
        <v>6.08</v>
      </c>
      <c r="C109" s="280">
        <v>45589</v>
      </c>
      <c r="D109" s="279">
        <v>45590</v>
      </c>
      <c r="E109" s="279">
        <v>45591</v>
      </c>
      <c r="F109" s="132"/>
      <c r="G109" s="132" t="s">
        <v>1108</v>
      </c>
      <c r="H109" s="132" t="s">
        <v>373</v>
      </c>
      <c r="I109" s="132" t="s">
        <v>1100</v>
      </c>
      <c r="J109" s="132" t="s">
        <v>1101</v>
      </c>
      <c r="K109" s="132" t="s">
        <v>1102</v>
      </c>
      <c r="L109" s="132" t="s">
        <v>1103</v>
      </c>
      <c r="M109" s="132" t="s">
        <v>1376</v>
      </c>
      <c r="N109" s="132" t="s">
        <v>1117</v>
      </c>
      <c r="O109" s="132" t="s">
        <v>1377</v>
      </c>
      <c r="P109" s="132" t="s">
        <v>1362</v>
      </c>
      <c r="Q109" s="132" t="s">
        <v>1108</v>
      </c>
    </row>
    <row r="110" spans="1:17" x14ac:dyDescent="0.2">
      <c r="A110" t="s">
        <v>212</v>
      </c>
      <c r="B110" s="141">
        <f t="shared" si="1"/>
        <v>6.08</v>
      </c>
      <c r="C110" s="280">
        <v>45589</v>
      </c>
      <c r="D110" s="279">
        <v>45590</v>
      </c>
      <c r="E110" s="279">
        <v>45591</v>
      </c>
      <c r="F110" s="132"/>
      <c r="G110" s="132" t="s">
        <v>1378</v>
      </c>
      <c r="H110" s="132" t="s">
        <v>373</v>
      </c>
      <c r="I110" s="132" t="s">
        <v>1100</v>
      </c>
      <c r="J110" s="132" t="s">
        <v>1101</v>
      </c>
      <c r="K110" s="132" t="s">
        <v>1102</v>
      </c>
      <c r="L110" s="132" t="s">
        <v>1103</v>
      </c>
      <c r="M110" s="132" t="s">
        <v>1379</v>
      </c>
      <c r="N110" s="132" t="s">
        <v>1105</v>
      </c>
      <c r="O110" s="132" t="s">
        <v>1380</v>
      </c>
      <c r="P110" s="132" t="s">
        <v>1362</v>
      </c>
      <c r="Q110" s="132" t="s">
        <v>1108</v>
      </c>
    </row>
    <row r="111" spans="1:17" x14ac:dyDescent="0.2">
      <c r="A111" t="s">
        <v>212</v>
      </c>
      <c r="B111" s="141">
        <f t="shared" si="1"/>
        <v>6.08</v>
      </c>
      <c r="C111" s="280">
        <v>45589</v>
      </c>
      <c r="D111" s="279">
        <v>45590</v>
      </c>
      <c r="E111" s="279">
        <v>45591</v>
      </c>
      <c r="F111" s="132"/>
      <c r="G111" s="132" t="s">
        <v>1108</v>
      </c>
      <c r="H111" s="132" t="s">
        <v>373</v>
      </c>
      <c r="I111" s="132" t="s">
        <v>1100</v>
      </c>
      <c r="J111" s="132" t="s">
        <v>1101</v>
      </c>
      <c r="K111" s="132" t="s">
        <v>1102</v>
      </c>
      <c r="L111" s="132" t="s">
        <v>1103</v>
      </c>
      <c r="M111" s="132" t="s">
        <v>1381</v>
      </c>
      <c r="N111" s="132" t="s">
        <v>1117</v>
      </c>
      <c r="O111" s="132" t="s">
        <v>1382</v>
      </c>
      <c r="P111" s="132" t="s">
        <v>1362</v>
      </c>
      <c r="Q111" s="132" t="s">
        <v>1108</v>
      </c>
    </row>
    <row r="112" spans="1:17" x14ac:dyDescent="0.2">
      <c r="A112" t="s">
        <v>212</v>
      </c>
      <c r="B112" s="141">
        <f t="shared" si="1"/>
        <v>6.08</v>
      </c>
      <c r="C112" s="280">
        <v>45589</v>
      </c>
      <c r="D112" s="279">
        <v>45590</v>
      </c>
      <c r="E112" s="279">
        <v>45591</v>
      </c>
      <c r="F112" s="132"/>
      <c r="G112" s="132" t="s">
        <v>1383</v>
      </c>
      <c r="H112" s="132" t="s">
        <v>373</v>
      </c>
      <c r="I112" s="132" t="s">
        <v>1100</v>
      </c>
      <c r="J112" s="132" t="s">
        <v>1101</v>
      </c>
      <c r="K112" s="132" t="s">
        <v>1102</v>
      </c>
      <c r="L112" s="132" t="s">
        <v>1103</v>
      </c>
      <c r="M112" s="132" t="s">
        <v>1384</v>
      </c>
      <c r="N112" s="132" t="s">
        <v>1105</v>
      </c>
      <c r="O112" s="132" t="s">
        <v>1385</v>
      </c>
      <c r="P112" s="132" t="s">
        <v>1362</v>
      </c>
      <c r="Q112" s="132" t="s">
        <v>1108</v>
      </c>
    </row>
    <row r="113" spans="1:17" x14ac:dyDescent="0.2">
      <c r="A113" t="s">
        <v>212</v>
      </c>
      <c r="B113" s="141">
        <f t="shared" si="1"/>
        <v>6.04</v>
      </c>
      <c r="C113" s="280">
        <v>45590</v>
      </c>
      <c r="D113" s="279">
        <v>45590</v>
      </c>
      <c r="E113" s="279">
        <v>45591</v>
      </c>
      <c r="F113" s="132"/>
      <c r="G113" s="132" t="s">
        <v>1108</v>
      </c>
      <c r="H113" s="132" t="s">
        <v>373</v>
      </c>
      <c r="I113" s="132" t="s">
        <v>1100</v>
      </c>
      <c r="J113" s="132" t="s">
        <v>1101</v>
      </c>
      <c r="K113" s="132" t="s">
        <v>1109</v>
      </c>
      <c r="L113" s="132" t="s">
        <v>1110</v>
      </c>
      <c r="M113" s="132" t="s">
        <v>1386</v>
      </c>
      <c r="N113" s="132" t="s">
        <v>1112</v>
      </c>
      <c r="O113" s="132" t="s">
        <v>1387</v>
      </c>
      <c r="P113" s="132" t="s">
        <v>1362</v>
      </c>
      <c r="Q113" s="132" t="s">
        <v>1108</v>
      </c>
    </row>
    <row r="114" spans="1:17" x14ac:dyDescent="0.2">
      <c r="A114" t="s">
        <v>212</v>
      </c>
      <c r="B114" s="141">
        <f t="shared" si="1"/>
        <v>6.04</v>
      </c>
      <c r="C114" s="280">
        <v>45590</v>
      </c>
      <c r="D114" s="279">
        <v>45590</v>
      </c>
      <c r="E114" s="279">
        <v>45591</v>
      </c>
      <c r="F114" s="132"/>
      <c r="G114" s="132" t="s">
        <v>1108</v>
      </c>
      <c r="H114" s="132" t="s">
        <v>373</v>
      </c>
      <c r="I114" s="132" t="s">
        <v>1100</v>
      </c>
      <c r="J114" s="132" t="s">
        <v>1101</v>
      </c>
      <c r="K114" s="132" t="s">
        <v>1109</v>
      </c>
      <c r="L114" s="132" t="s">
        <v>1110</v>
      </c>
      <c r="M114" s="132" t="s">
        <v>1388</v>
      </c>
      <c r="N114" s="132" t="s">
        <v>1112</v>
      </c>
      <c r="O114" s="281" t="s">
        <v>1389</v>
      </c>
      <c r="P114" s="132" t="s">
        <v>1362</v>
      </c>
      <c r="Q114" s="132" t="s">
        <v>1108</v>
      </c>
    </row>
    <row r="115" spans="1:17" x14ac:dyDescent="0.2">
      <c r="A115" t="s">
        <v>212</v>
      </c>
      <c r="B115" s="141">
        <f t="shared" si="1"/>
        <v>6.04</v>
      </c>
      <c r="C115" s="280">
        <v>45590</v>
      </c>
      <c r="D115" s="279">
        <v>45590</v>
      </c>
      <c r="E115" s="279">
        <v>45591</v>
      </c>
      <c r="F115" s="132"/>
      <c r="G115" s="132" t="s">
        <v>1108</v>
      </c>
      <c r="H115" s="132" t="s">
        <v>373</v>
      </c>
      <c r="I115" s="132" t="s">
        <v>1100</v>
      </c>
      <c r="J115" s="132" t="s">
        <v>1101</v>
      </c>
      <c r="K115" s="132" t="s">
        <v>1109</v>
      </c>
      <c r="L115" s="132" t="s">
        <v>1110</v>
      </c>
      <c r="M115" s="132" t="s">
        <v>1390</v>
      </c>
      <c r="N115" s="132" t="s">
        <v>1112</v>
      </c>
      <c r="O115" s="132" t="s">
        <v>1391</v>
      </c>
      <c r="P115" s="132" t="s">
        <v>1362</v>
      </c>
      <c r="Q115" s="132" t="s">
        <v>1108</v>
      </c>
    </row>
    <row r="116" spans="1:17" x14ac:dyDescent="0.2">
      <c r="A116" t="s">
        <v>212</v>
      </c>
      <c r="B116" s="141">
        <f t="shared" si="1"/>
        <v>6.04</v>
      </c>
      <c r="C116" s="280">
        <v>45590</v>
      </c>
      <c r="D116" s="279">
        <v>45590</v>
      </c>
      <c r="E116" s="279">
        <v>45591</v>
      </c>
      <c r="F116" s="132"/>
      <c r="G116" s="132" t="s">
        <v>1108</v>
      </c>
      <c r="H116" s="132" t="s">
        <v>373</v>
      </c>
      <c r="I116" s="132" t="s">
        <v>1100</v>
      </c>
      <c r="J116" s="132" t="s">
        <v>1101</v>
      </c>
      <c r="K116" s="132" t="s">
        <v>1109</v>
      </c>
      <c r="L116" s="132" t="s">
        <v>1110</v>
      </c>
      <c r="M116" s="132" t="s">
        <v>1392</v>
      </c>
      <c r="N116" s="132" t="s">
        <v>1112</v>
      </c>
      <c r="O116" s="132" t="s">
        <v>1393</v>
      </c>
      <c r="P116" s="132" t="s">
        <v>1362</v>
      </c>
      <c r="Q116" s="132" t="s">
        <v>1108</v>
      </c>
    </row>
    <row r="117" spans="1:17" x14ac:dyDescent="0.2">
      <c r="A117" t="s">
        <v>212</v>
      </c>
      <c r="B117" s="141">
        <f t="shared" si="1"/>
        <v>6.04</v>
      </c>
      <c r="C117" s="280">
        <v>45590</v>
      </c>
      <c r="D117" s="279">
        <v>45590</v>
      </c>
      <c r="E117" s="279">
        <v>45591</v>
      </c>
      <c r="F117" s="132"/>
      <c r="G117" s="132" t="s">
        <v>1108</v>
      </c>
      <c r="H117" s="132" t="s">
        <v>373</v>
      </c>
      <c r="I117" s="132" t="s">
        <v>1100</v>
      </c>
      <c r="J117" s="132" t="s">
        <v>1101</v>
      </c>
      <c r="K117" s="132" t="s">
        <v>1109</v>
      </c>
      <c r="L117" s="132" t="s">
        <v>1110</v>
      </c>
      <c r="M117" s="132" t="s">
        <v>1394</v>
      </c>
      <c r="N117" s="132" t="s">
        <v>1112</v>
      </c>
      <c r="O117" s="132" t="s">
        <v>1395</v>
      </c>
      <c r="P117" s="132" t="s">
        <v>1362</v>
      </c>
      <c r="Q117" s="132" t="s">
        <v>1108</v>
      </c>
    </row>
    <row r="118" spans="1:17" x14ac:dyDescent="0.2">
      <c r="A118" t="s">
        <v>212</v>
      </c>
      <c r="B118" s="141">
        <f t="shared" si="1"/>
        <v>6.08</v>
      </c>
      <c r="C118" s="280">
        <v>45590</v>
      </c>
      <c r="D118" s="279">
        <v>45590</v>
      </c>
      <c r="E118" s="279">
        <v>45591</v>
      </c>
      <c r="F118" s="132"/>
      <c r="G118" s="132" t="s">
        <v>1108</v>
      </c>
      <c r="H118" s="132" t="s">
        <v>373</v>
      </c>
      <c r="I118" s="132" t="s">
        <v>1100</v>
      </c>
      <c r="J118" s="132" t="s">
        <v>1101</v>
      </c>
      <c r="K118" s="132" t="s">
        <v>1102</v>
      </c>
      <c r="L118" s="132" t="s">
        <v>1103</v>
      </c>
      <c r="M118" s="132" t="s">
        <v>1396</v>
      </c>
      <c r="N118" s="132" t="s">
        <v>1117</v>
      </c>
      <c r="O118" s="132" t="s">
        <v>1397</v>
      </c>
      <c r="P118" s="132" t="s">
        <v>1362</v>
      </c>
      <c r="Q118" s="132" t="s">
        <v>1108</v>
      </c>
    </row>
    <row r="119" spans="1:17" x14ac:dyDescent="0.2">
      <c r="A119" t="s">
        <v>212</v>
      </c>
      <c r="B119" s="141">
        <f t="shared" si="1"/>
        <v>6.08</v>
      </c>
      <c r="C119" s="280">
        <v>45589</v>
      </c>
      <c r="D119" s="279">
        <v>45592</v>
      </c>
      <c r="E119" s="279">
        <v>45593</v>
      </c>
      <c r="F119" s="132"/>
      <c r="G119" s="132" t="s">
        <v>1398</v>
      </c>
      <c r="H119" s="132" t="s">
        <v>373</v>
      </c>
      <c r="I119" s="132" t="s">
        <v>1100</v>
      </c>
      <c r="J119" s="132" t="s">
        <v>1101</v>
      </c>
      <c r="K119" s="132" t="s">
        <v>1102</v>
      </c>
      <c r="L119" s="132" t="s">
        <v>1103</v>
      </c>
      <c r="M119" s="132" t="s">
        <v>1399</v>
      </c>
      <c r="N119" s="132" t="s">
        <v>1105</v>
      </c>
      <c r="O119" s="132" t="s">
        <v>1400</v>
      </c>
      <c r="P119" s="132" t="s">
        <v>1401</v>
      </c>
      <c r="Q119" s="132" t="s">
        <v>1108</v>
      </c>
    </row>
    <row r="120" spans="1:17" x14ac:dyDescent="0.2">
      <c r="A120" t="s">
        <v>213</v>
      </c>
      <c r="B120" s="141">
        <f t="shared" si="1"/>
        <v>8.0400000000000009</v>
      </c>
      <c r="C120" s="280">
        <v>45589</v>
      </c>
      <c r="D120" s="279">
        <v>45592</v>
      </c>
      <c r="E120" s="279">
        <v>45593</v>
      </c>
      <c r="F120" s="132"/>
      <c r="G120" s="132" t="s">
        <v>1403</v>
      </c>
      <c r="H120" s="132" t="s">
        <v>373</v>
      </c>
      <c r="I120" s="132" t="s">
        <v>1100</v>
      </c>
      <c r="J120" s="132" t="s">
        <v>1171</v>
      </c>
      <c r="K120" s="132" t="s">
        <v>1225</v>
      </c>
      <c r="L120" s="132" t="s">
        <v>1226</v>
      </c>
      <c r="M120" s="132" t="s">
        <v>1404</v>
      </c>
      <c r="N120" s="132" t="s">
        <v>1105</v>
      </c>
      <c r="O120" s="132" t="s">
        <v>1405</v>
      </c>
      <c r="P120" s="132" t="s">
        <v>1401</v>
      </c>
      <c r="Q120" s="132" t="s">
        <v>1108</v>
      </c>
    </row>
    <row r="121" spans="1:17" x14ac:dyDescent="0.2">
      <c r="A121" t="s">
        <v>213</v>
      </c>
      <c r="B121" s="141">
        <f t="shared" si="1"/>
        <v>16.38</v>
      </c>
      <c r="C121" s="280">
        <v>45589</v>
      </c>
      <c r="D121" s="279">
        <v>45592</v>
      </c>
      <c r="E121" s="279">
        <v>45593</v>
      </c>
      <c r="F121" s="132"/>
      <c r="G121" s="132" t="s">
        <v>1406</v>
      </c>
      <c r="H121" s="132" t="s">
        <v>373</v>
      </c>
      <c r="I121" s="132" t="s">
        <v>1100</v>
      </c>
      <c r="J121" s="132" t="s">
        <v>1199</v>
      </c>
      <c r="K121" s="132" t="s">
        <v>1200</v>
      </c>
      <c r="L121" s="132" t="s">
        <v>1201</v>
      </c>
      <c r="M121" s="132" t="s">
        <v>1407</v>
      </c>
      <c r="N121" s="132" t="s">
        <v>1105</v>
      </c>
      <c r="O121" s="132" t="s">
        <v>1408</v>
      </c>
      <c r="P121" s="132" t="s">
        <v>1401</v>
      </c>
      <c r="Q121" s="132" t="s">
        <v>1108</v>
      </c>
    </row>
    <row r="122" spans="1:17" x14ac:dyDescent="0.2">
      <c r="A122" t="s">
        <v>212</v>
      </c>
      <c r="B122" s="141">
        <f t="shared" si="1"/>
        <v>6.08</v>
      </c>
      <c r="C122" s="280">
        <v>45589</v>
      </c>
      <c r="D122" s="279">
        <v>45592</v>
      </c>
      <c r="E122" s="279">
        <v>45593</v>
      </c>
      <c r="F122" s="132"/>
      <c r="G122" s="132" t="s">
        <v>1108</v>
      </c>
      <c r="H122" s="132" t="s">
        <v>373</v>
      </c>
      <c r="I122" s="132" t="s">
        <v>1100</v>
      </c>
      <c r="J122" s="132" t="s">
        <v>1101</v>
      </c>
      <c r="K122" s="132" t="s">
        <v>1102</v>
      </c>
      <c r="L122" s="132" t="s">
        <v>1103</v>
      </c>
      <c r="M122" s="132" t="s">
        <v>1409</v>
      </c>
      <c r="N122" s="132" t="s">
        <v>1117</v>
      </c>
      <c r="O122" s="132" t="s">
        <v>1410</v>
      </c>
      <c r="P122" s="132" t="s">
        <v>1401</v>
      </c>
      <c r="Q122" s="132" t="s">
        <v>1108</v>
      </c>
    </row>
    <row r="123" spans="1:17" x14ac:dyDescent="0.2">
      <c r="A123" t="s">
        <v>213</v>
      </c>
      <c r="B123" s="141">
        <f t="shared" si="1"/>
        <v>8.0400000000000009</v>
      </c>
      <c r="C123" s="280">
        <v>45589</v>
      </c>
      <c r="D123" s="279">
        <v>45592</v>
      </c>
      <c r="E123" s="279">
        <v>45593</v>
      </c>
      <c r="F123" s="132"/>
      <c r="G123" s="132" t="s">
        <v>1108</v>
      </c>
      <c r="H123" s="132" t="s">
        <v>373</v>
      </c>
      <c r="I123" s="132" t="s">
        <v>1100</v>
      </c>
      <c r="J123" s="132" t="s">
        <v>1171</v>
      </c>
      <c r="K123" s="132" t="s">
        <v>1225</v>
      </c>
      <c r="L123" s="132" t="s">
        <v>1226</v>
      </c>
      <c r="M123" s="132" t="s">
        <v>1411</v>
      </c>
      <c r="N123" s="132" t="s">
        <v>1117</v>
      </c>
      <c r="O123" s="132" t="s">
        <v>1412</v>
      </c>
      <c r="P123" s="132" t="s">
        <v>1401</v>
      </c>
      <c r="Q123" s="132" t="s">
        <v>1108</v>
      </c>
    </row>
    <row r="124" spans="1:17" x14ac:dyDescent="0.2">
      <c r="A124" t="s">
        <v>213</v>
      </c>
      <c r="B124" s="141">
        <f t="shared" si="1"/>
        <v>41.39</v>
      </c>
      <c r="C124" s="280">
        <v>45589</v>
      </c>
      <c r="D124" s="279">
        <v>45592</v>
      </c>
      <c r="E124" s="279">
        <v>45593</v>
      </c>
      <c r="F124" s="132"/>
      <c r="G124" s="132" t="s">
        <v>1108</v>
      </c>
      <c r="H124" s="132" t="s">
        <v>373</v>
      </c>
      <c r="I124" s="132" t="s">
        <v>1100</v>
      </c>
      <c r="J124" s="132" t="s">
        <v>1413</v>
      </c>
      <c r="K124" s="132" t="s">
        <v>1414</v>
      </c>
      <c r="L124" s="132" t="s">
        <v>1415</v>
      </c>
      <c r="M124" s="132" t="s">
        <v>1416</v>
      </c>
      <c r="N124" s="132" t="s">
        <v>1117</v>
      </c>
      <c r="O124" s="132" t="s">
        <v>1417</v>
      </c>
      <c r="P124" s="132" t="s">
        <v>1401</v>
      </c>
      <c r="Q124" s="132" t="s">
        <v>1108</v>
      </c>
    </row>
    <row r="125" spans="1:17" x14ac:dyDescent="0.2">
      <c r="A125" t="s">
        <v>212</v>
      </c>
      <c r="B125" s="141">
        <f t="shared" si="1"/>
        <v>6.08</v>
      </c>
      <c r="C125" s="280">
        <v>45589</v>
      </c>
      <c r="D125" s="279">
        <v>45592</v>
      </c>
      <c r="E125" s="279">
        <v>45593</v>
      </c>
      <c r="F125" s="132"/>
      <c r="G125" s="132" t="s">
        <v>1418</v>
      </c>
      <c r="H125" s="132" t="s">
        <v>373</v>
      </c>
      <c r="I125" s="132" t="s">
        <v>1100</v>
      </c>
      <c r="J125" s="132" t="s">
        <v>1101</v>
      </c>
      <c r="K125" s="132" t="s">
        <v>1102</v>
      </c>
      <c r="L125" s="132" t="s">
        <v>1103</v>
      </c>
      <c r="M125" s="132" t="s">
        <v>1419</v>
      </c>
      <c r="N125" s="132" t="s">
        <v>1105</v>
      </c>
      <c r="O125" s="132" t="s">
        <v>1420</v>
      </c>
      <c r="P125" s="132" t="s">
        <v>1401</v>
      </c>
      <c r="Q125" s="132" t="s">
        <v>1108</v>
      </c>
    </row>
    <row r="126" spans="1:17" x14ac:dyDescent="0.2">
      <c r="A126" t="s">
        <v>212</v>
      </c>
      <c r="B126" s="141">
        <f t="shared" si="1"/>
        <v>6.08</v>
      </c>
      <c r="C126" s="280">
        <v>45590</v>
      </c>
      <c r="D126" s="279">
        <v>45592</v>
      </c>
      <c r="E126" s="279">
        <v>45593</v>
      </c>
      <c r="F126" s="132"/>
      <c r="G126" s="132" t="s">
        <v>1421</v>
      </c>
      <c r="H126" s="132" t="s">
        <v>373</v>
      </c>
      <c r="I126" s="132" t="s">
        <v>1100</v>
      </c>
      <c r="J126" s="132" t="s">
        <v>1101</v>
      </c>
      <c r="K126" s="132" t="s">
        <v>1102</v>
      </c>
      <c r="L126" s="132" t="s">
        <v>1103</v>
      </c>
      <c r="M126" s="132" t="s">
        <v>1422</v>
      </c>
      <c r="N126" s="132" t="s">
        <v>1105</v>
      </c>
      <c r="O126" s="132" t="s">
        <v>1423</v>
      </c>
      <c r="P126" s="132" t="s">
        <v>1401</v>
      </c>
      <c r="Q126" s="132" t="s">
        <v>1108</v>
      </c>
    </row>
    <row r="127" spans="1:17" x14ac:dyDescent="0.2">
      <c r="A127" t="s">
        <v>212</v>
      </c>
      <c r="B127" s="141">
        <f t="shared" si="1"/>
        <v>6.08</v>
      </c>
      <c r="C127" s="280">
        <v>45590</v>
      </c>
      <c r="D127" s="279">
        <v>45592</v>
      </c>
      <c r="E127" s="279">
        <v>45593</v>
      </c>
      <c r="F127" s="132"/>
      <c r="G127" s="132" t="s">
        <v>1108</v>
      </c>
      <c r="H127" s="132" t="s">
        <v>373</v>
      </c>
      <c r="I127" s="132" t="s">
        <v>1100</v>
      </c>
      <c r="J127" s="132" t="s">
        <v>1101</v>
      </c>
      <c r="K127" s="132" t="s">
        <v>1102</v>
      </c>
      <c r="L127" s="132" t="s">
        <v>1103</v>
      </c>
      <c r="M127" s="132" t="s">
        <v>1424</v>
      </c>
      <c r="N127" s="132" t="s">
        <v>1117</v>
      </c>
      <c r="O127" s="132" t="s">
        <v>1425</v>
      </c>
      <c r="P127" s="132" t="s">
        <v>1401</v>
      </c>
      <c r="Q127" s="132" t="s">
        <v>1108</v>
      </c>
    </row>
    <row r="128" spans="1:17" x14ac:dyDescent="0.2">
      <c r="A128" t="s">
        <v>212</v>
      </c>
      <c r="B128" s="141">
        <f t="shared" si="1"/>
        <v>6.08</v>
      </c>
      <c r="C128" s="280">
        <v>45590</v>
      </c>
      <c r="D128" s="279">
        <v>45592</v>
      </c>
      <c r="E128" s="279">
        <v>45593</v>
      </c>
      <c r="F128" s="132"/>
      <c r="G128" s="132" t="s">
        <v>1108</v>
      </c>
      <c r="H128" s="132" t="s">
        <v>373</v>
      </c>
      <c r="I128" s="132" t="s">
        <v>1100</v>
      </c>
      <c r="J128" s="132" t="s">
        <v>1101</v>
      </c>
      <c r="K128" s="132" t="s">
        <v>1102</v>
      </c>
      <c r="L128" s="132" t="s">
        <v>1103</v>
      </c>
      <c r="M128" s="132" t="s">
        <v>1426</v>
      </c>
      <c r="N128" s="132" t="s">
        <v>1117</v>
      </c>
      <c r="O128" s="132" t="s">
        <v>1427</v>
      </c>
      <c r="P128" s="132" t="s">
        <v>1401</v>
      </c>
      <c r="Q128" s="132" t="s">
        <v>1108</v>
      </c>
    </row>
    <row r="129" spans="1:17" x14ac:dyDescent="0.2">
      <c r="A129" t="s">
        <v>212</v>
      </c>
      <c r="B129" s="141">
        <f t="shared" si="1"/>
        <v>14.41</v>
      </c>
      <c r="C129" s="280">
        <v>45590</v>
      </c>
      <c r="D129" s="279">
        <v>45592</v>
      </c>
      <c r="E129" s="279">
        <v>45593</v>
      </c>
      <c r="F129" s="132"/>
      <c r="G129" s="132" t="s">
        <v>1108</v>
      </c>
      <c r="H129" s="132" t="s">
        <v>373</v>
      </c>
      <c r="I129" s="132" t="s">
        <v>1100</v>
      </c>
      <c r="J129" s="132" t="s">
        <v>1188</v>
      </c>
      <c r="K129" s="132" t="s">
        <v>1313</v>
      </c>
      <c r="L129" s="132" t="s">
        <v>1314</v>
      </c>
      <c r="M129" s="132" t="s">
        <v>1428</v>
      </c>
      <c r="N129" s="132" t="s">
        <v>1117</v>
      </c>
      <c r="O129" s="132" t="s">
        <v>1429</v>
      </c>
      <c r="P129" s="132" t="s">
        <v>1401</v>
      </c>
      <c r="Q129" s="132" t="s">
        <v>1108</v>
      </c>
    </row>
    <row r="130" spans="1:17" x14ac:dyDescent="0.2">
      <c r="A130" t="s">
        <v>213</v>
      </c>
      <c r="B130" s="141">
        <f t="shared" si="1"/>
        <v>8.0400000000000009</v>
      </c>
      <c r="C130" s="280">
        <v>45590</v>
      </c>
      <c r="D130" s="279">
        <v>45592</v>
      </c>
      <c r="E130" s="279">
        <v>45593</v>
      </c>
      <c r="F130" s="132"/>
      <c r="G130" s="132" t="s">
        <v>1430</v>
      </c>
      <c r="H130" s="132" t="s">
        <v>373</v>
      </c>
      <c r="I130" s="132" t="s">
        <v>1100</v>
      </c>
      <c r="J130" s="132" t="s">
        <v>1171</v>
      </c>
      <c r="K130" s="132" t="s">
        <v>1225</v>
      </c>
      <c r="L130" s="132" t="s">
        <v>1226</v>
      </c>
      <c r="M130" s="132" t="s">
        <v>1431</v>
      </c>
      <c r="N130" s="132" t="s">
        <v>1105</v>
      </c>
      <c r="O130" s="132" t="s">
        <v>1432</v>
      </c>
      <c r="P130" s="132" t="s">
        <v>1401</v>
      </c>
      <c r="Q130" s="132" t="s">
        <v>1108</v>
      </c>
    </row>
    <row r="131" spans="1:17" x14ac:dyDescent="0.2">
      <c r="A131" t="s">
        <v>212</v>
      </c>
      <c r="B131" s="141">
        <f t="shared" ref="B131:B194" si="2">_xlfn.NUMBERVALUE(L131)*0.01</f>
        <v>6.08</v>
      </c>
      <c r="C131" s="280">
        <v>45590</v>
      </c>
      <c r="D131" s="279">
        <v>45592</v>
      </c>
      <c r="E131" s="279">
        <v>45593</v>
      </c>
      <c r="F131" s="132"/>
      <c r="G131" s="132" t="s">
        <v>1108</v>
      </c>
      <c r="H131" s="132" t="s">
        <v>373</v>
      </c>
      <c r="I131" s="132" t="s">
        <v>1100</v>
      </c>
      <c r="J131" s="132" t="s">
        <v>1101</v>
      </c>
      <c r="K131" s="132" t="s">
        <v>1102</v>
      </c>
      <c r="L131" s="132" t="s">
        <v>1103</v>
      </c>
      <c r="M131" s="132" t="s">
        <v>1433</v>
      </c>
      <c r="N131" s="132" t="s">
        <v>1117</v>
      </c>
      <c r="O131" s="132" t="s">
        <v>1434</v>
      </c>
      <c r="P131" s="132" t="s">
        <v>1401</v>
      </c>
      <c r="Q131" s="132" t="s">
        <v>1108</v>
      </c>
    </row>
    <row r="132" spans="1:17" x14ac:dyDescent="0.2">
      <c r="A132" t="s">
        <v>212</v>
      </c>
      <c r="B132" s="141">
        <f t="shared" si="2"/>
        <v>6.08</v>
      </c>
      <c r="C132" s="280">
        <v>45590</v>
      </c>
      <c r="D132" s="279">
        <v>45592</v>
      </c>
      <c r="E132" s="279">
        <v>45593</v>
      </c>
      <c r="F132" s="132"/>
      <c r="G132" s="132" t="s">
        <v>1435</v>
      </c>
      <c r="H132" s="132" t="s">
        <v>373</v>
      </c>
      <c r="I132" s="132" t="s">
        <v>1100</v>
      </c>
      <c r="J132" s="132" t="s">
        <v>1101</v>
      </c>
      <c r="K132" s="132" t="s">
        <v>1102</v>
      </c>
      <c r="L132" s="132" t="s">
        <v>1103</v>
      </c>
      <c r="M132" s="132" t="s">
        <v>1436</v>
      </c>
      <c r="N132" s="132" t="s">
        <v>1105</v>
      </c>
      <c r="O132" s="132" t="s">
        <v>1437</v>
      </c>
      <c r="P132" s="132" t="s">
        <v>1401</v>
      </c>
      <c r="Q132" s="132" t="s">
        <v>1108</v>
      </c>
    </row>
    <row r="133" spans="1:17" x14ac:dyDescent="0.2">
      <c r="A133" t="s">
        <v>212</v>
      </c>
      <c r="B133" s="141">
        <f t="shared" si="2"/>
        <v>6.08</v>
      </c>
      <c r="C133" s="280">
        <v>45590</v>
      </c>
      <c r="D133" s="279">
        <v>45592</v>
      </c>
      <c r="E133" s="279">
        <v>45593</v>
      </c>
      <c r="F133" s="132"/>
      <c r="G133" s="132" t="s">
        <v>1108</v>
      </c>
      <c r="H133" s="132" t="s">
        <v>373</v>
      </c>
      <c r="I133" s="132" t="s">
        <v>1100</v>
      </c>
      <c r="J133" s="132" t="s">
        <v>1101</v>
      </c>
      <c r="K133" s="132" t="s">
        <v>1102</v>
      </c>
      <c r="L133" s="132" t="s">
        <v>1103</v>
      </c>
      <c r="M133" s="132" t="s">
        <v>1438</v>
      </c>
      <c r="N133" s="132" t="s">
        <v>1117</v>
      </c>
      <c r="O133" s="132" t="s">
        <v>1439</v>
      </c>
      <c r="P133" s="132" t="s">
        <v>1401</v>
      </c>
      <c r="Q133" s="132" t="s">
        <v>1108</v>
      </c>
    </row>
    <row r="134" spans="1:17" x14ac:dyDescent="0.2">
      <c r="A134" t="s">
        <v>212</v>
      </c>
      <c r="B134" s="141">
        <f t="shared" si="2"/>
        <v>6.08</v>
      </c>
      <c r="C134" s="280">
        <v>45590</v>
      </c>
      <c r="D134" s="279">
        <v>45592</v>
      </c>
      <c r="E134" s="279">
        <v>45593</v>
      </c>
      <c r="F134" s="132"/>
      <c r="G134" s="132" t="s">
        <v>1108</v>
      </c>
      <c r="H134" s="132" t="s">
        <v>373</v>
      </c>
      <c r="I134" s="132" t="s">
        <v>1100</v>
      </c>
      <c r="J134" s="132" t="s">
        <v>1101</v>
      </c>
      <c r="K134" s="132" t="s">
        <v>1102</v>
      </c>
      <c r="L134" s="132" t="s">
        <v>1103</v>
      </c>
      <c r="M134" s="132" t="s">
        <v>1440</v>
      </c>
      <c r="N134" s="132" t="s">
        <v>1117</v>
      </c>
      <c r="O134" s="132" t="s">
        <v>1441</v>
      </c>
      <c r="P134" s="132" t="s">
        <v>1401</v>
      </c>
      <c r="Q134" s="132" t="s">
        <v>1108</v>
      </c>
    </row>
    <row r="135" spans="1:17" x14ac:dyDescent="0.2">
      <c r="A135" t="s">
        <v>212</v>
      </c>
      <c r="B135" s="141">
        <f t="shared" si="2"/>
        <v>6.08</v>
      </c>
      <c r="C135" s="280">
        <v>45590</v>
      </c>
      <c r="D135" s="279">
        <v>45592</v>
      </c>
      <c r="E135" s="279">
        <v>45593</v>
      </c>
      <c r="F135" s="132"/>
      <c r="G135" s="132" t="s">
        <v>1108</v>
      </c>
      <c r="H135" s="132" t="s">
        <v>373</v>
      </c>
      <c r="I135" s="132" t="s">
        <v>1100</v>
      </c>
      <c r="J135" s="132" t="s">
        <v>1101</v>
      </c>
      <c r="K135" s="132" t="s">
        <v>1102</v>
      </c>
      <c r="L135" s="132" t="s">
        <v>1103</v>
      </c>
      <c r="M135" s="132" t="s">
        <v>1442</v>
      </c>
      <c r="N135" s="132" t="s">
        <v>1117</v>
      </c>
      <c r="O135" s="132" t="s">
        <v>1443</v>
      </c>
      <c r="P135" s="132" t="s">
        <v>1401</v>
      </c>
      <c r="Q135" s="132" t="s">
        <v>1108</v>
      </c>
    </row>
    <row r="136" spans="1:17" x14ac:dyDescent="0.2">
      <c r="A136" t="s">
        <v>212</v>
      </c>
      <c r="B136" s="141">
        <f t="shared" si="2"/>
        <v>6.08</v>
      </c>
      <c r="C136" s="280">
        <v>45590</v>
      </c>
      <c r="D136" s="279">
        <v>45592</v>
      </c>
      <c r="E136" s="279">
        <v>45593</v>
      </c>
      <c r="F136" s="132"/>
      <c r="G136" s="132" t="s">
        <v>1108</v>
      </c>
      <c r="H136" s="132" t="s">
        <v>373</v>
      </c>
      <c r="I136" s="132" t="s">
        <v>1100</v>
      </c>
      <c r="J136" s="132" t="s">
        <v>1101</v>
      </c>
      <c r="K136" s="132" t="s">
        <v>1102</v>
      </c>
      <c r="L136" s="132" t="s">
        <v>1103</v>
      </c>
      <c r="M136" s="132" t="s">
        <v>1444</v>
      </c>
      <c r="N136" s="132" t="s">
        <v>1117</v>
      </c>
      <c r="O136" s="132" t="s">
        <v>1445</v>
      </c>
      <c r="P136" s="132" t="s">
        <v>1401</v>
      </c>
      <c r="Q136" s="132" t="s">
        <v>1108</v>
      </c>
    </row>
    <row r="137" spans="1:17" x14ac:dyDescent="0.2">
      <c r="A137" t="s">
        <v>213</v>
      </c>
      <c r="B137" s="141">
        <f t="shared" si="2"/>
        <v>8.0400000000000009</v>
      </c>
      <c r="C137" s="280">
        <v>45590</v>
      </c>
      <c r="D137" s="279">
        <v>45592</v>
      </c>
      <c r="E137" s="279">
        <v>45593</v>
      </c>
      <c r="F137" s="132"/>
      <c r="G137" s="132" t="s">
        <v>1446</v>
      </c>
      <c r="H137" s="132" t="s">
        <v>373</v>
      </c>
      <c r="I137" s="132" t="s">
        <v>1100</v>
      </c>
      <c r="J137" s="132" t="s">
        <v>1171</v>
      </c>
      <c r="K137" s="132" t="s">
        <v>1225</v>
      </c>
      <c r="L137" s="132" t="s">
        <v>1226</v>
      </c>
      <c r="M137" s="132" t="s">
        <v>1447</v>
      </c>
      <c r="N137" s="132" t="s">
        <v>1105</v>
      </c>
      <c r="O137" s="132" t="s">
        <v>1448</v>
      </c>
      <c r="P137" s="132" t="s">
        <v>1401</v>
      </c>
      <c r="Q137" s="132" t="s">
        <v>1108</v>
      </c>
    </row>
    <row r="138" spans="1:17" x14ac:dyDescent="0.2">
      <c r="A138" t="s">
        <v>212</v>
      </c>
      <c r="B138" s="141">
        <f t="shared" si="2"/>
        <v>6.08</v>
      </c>
      <c r="C138" s="280">
        <v>45590</v>
      </c>
      <c r="D138" s="279">
        <v>45592</v>
      </c>
      <c r="E138" s="279">
        <v>45593</v>
      </c>
      <c r="F138" s="132"/>
      <c r="G138" s="132" t="s">
        <v>1449</v>
      </c>
      <c r="H138" s="132" t="s">
        <v>373</v>
      </c>
      <c r="I138" s="132" t="s">
        <v>1100</v>
      </c>
      <c r="J138" s="132" t="s">
        <v>1101</v>
      </c>
      <c r="K138" s="132" t="s">
        <v>1102</v>
      </c>
      <c r="L138" s="132" t="s">
        <v>1103</v>
      </c>
      <c r="M138" s="132" t="s">
        <v>1450</v>
      </c>
      <c r="N138" s="132" t="s">
        <v>1105</v>
      </c>
      <c r="O138" s="132" t="s">
        <v>1451</v>
      </c>
      <c r="P138" s="132" t="s">
        <v>1401</v>
      </c>
      <c r="Q138" s="132" t="s">
        <v>1108</v>
      </c>
    </row>
    <row r="139" spans="1:17" x14ac:dyDescent="0.2">
      <c r="A139" t="s">
        <v>212</v>
      </c>
      <c r="B139" s="141">
        <f t="shared" si="2"/>
        <v>6.08</v>
      </c>
      <c r="C139" s="280">
        <v>45590</v>
      </c>
      <c r="D139" s="279">
        <v>45592</v>
      </c>
      <c r="E139" s="279">
        <v>45593</v>
      </c>
      <c r="F139" s="132"/>
      <c r="G139" s="132" t="s">
        <v>1108</v>
      </c>
      <c r="H139" s="132" t="s">
        <v>373</v>
      </c>
      <c r="I139" s="132" t="s">
        <v>1100</v>
      </c>
      <c r="J139" s="132" t="s">
        <v>1101</v>
      </c>
      <c r="K139" s="132" t="s">
        <v>1102</v>
      </c>
      <c r="L139" s="132" t="s">
        <v>1103</v>
      </c>
      <c r="M139" s="132" t="s">
        <v>1452</v>
      </c>
      <c r="N139" s="132" t="s">
        <v>1117</v>
      </c>
      <c r="O139" s="132" t="s">
        <v>1453</v>
      </c>
      <c r="P139" s="132" t="s">
        <v>1401</v>
      </c>
      <c r="Q139" s="132" t="s">
        <v>1108</v>
      </c>
    </row>
    <row r="140" spans="1:17" x14ac:dyDescent="0.2">
      <c r="A140" t="s">
        <v>212</v>
      </c>
      <c r="B140" s="141">
        <f t="shared" si="2"/>
        <v>6.08</v>
      </c>
      <c r="C140" s="280">
        <v>45591</v>
      </c>
      <c r="D140" s="279">
        <v>45593</v>
      </c>
      <c r="E140" s="279">
        <v>45593</v>
      </c>
      <c r="F140" s="132"/>
      <c r="G140" s="132" t="s">
        <v>1108</v>
      </c>
      <c r="H140" s="132" t="s">
        <v>373</v>
      </c>
      <c r="I140" s="132" t="s">
        <v>1100</v>
      </c>
      <c r="J140" s="132" t="s">
        <v>1101</v>
      </c>
      <c r="K140" s="132" t="s">
        <v>1102</v>
      </c>
      <c r="L140" s="132" t="s">
        <v>1103</v>
      </c>
      <c r="M140" s="132" t="s">
        <v>1455</v>
      </c>
      <c r="N140" s="132" t="s">
        <v>1117</v>
      </c>
      <c r="O140" s="132" t="s">
        <v>1456</v>
      </c>
      <c r="P140" s="132" t="s">
        <v>1401</v>
      </c>
      <c r="Q140" s="132" t="s">
        <v>1108</v>
      </c>
    </row>
    <row r="141" spans="1:17" x14ac:dyDescent="0.2">
      <c r="A141" t="s">
        <v>213</v>
      </c>
      <c r="B141" s="141">
        <f t="shared" si="2"/>
        <v>8.0400000000000009</v>
      </c>
      <c r="C141" s="280">
        <v>45591</v>
      </c>
      <c r="D141" s="279">
        <v>45592</v>
      </c>
      <c r="E141" s="279">
        <v>45593</v>
      </c>
      <c r="F141" s="132"/>
      <c r="G141" s="132" t="s">
        <v>1108</v>
      </c>
      <c r="H141" s="132" t="s">
        <v>373</v>
      </c>
      <c r="I141" s="132" t="s">
        <v>1100</v>
      </c>
      <c r="J141" s="132" t="s">
        <v>1171</v>
      </c>
      <c r="K141" s="132" t="s">
        <v>1225</v>
      </c>
      <c r="L141" s="132" t="s">
        <v>1226</v>
      </c>
      <c r="M141" s="132" t="s">
        <v>1457</v>
      </c>
      <c r="N141" s="132" t="s">
        <v>1117</v>
      </c>
      <c r="O141" s="132" t="s">
        <v>1458</v>
      </c>
      <c r="P141" s="132" t="s">
        <v>1401</v>
      </c>
      <c r="Q141" s="132" t="s">
        <v>1108</v>
      </c>
    </row>
    <row r="142" spans="1:17" x14ac:dyDescent="0.2">
      <c r="A142" t="s">
        <v>212</v>
      </c>
      <c r="B142" s="141">
        <f t="shared" si="2"/>
        <v>14.41</v>
      </c>
      <c r="C142" s="280">
        <v>45591</v>
      </c>
      <c r="D142" s="279">
        <v>45592</v>
      </c>
      <c r="E142" s="279">
        <v>45593</v>
      </c>
      <c r="F142" s="132"/>
      <c r="G142" s="132" t="s">
        <v>1108</v>
      </c>
      <c r="H142" s="132" t="s">
        <v>373</v>
      </c>
      <c r="I142" s="132" t="s">
        <v>1100</v>
      </c>
      <c r="J142" s="132" t="s">
        <v>1188</v>
      </c>
      <c r="K142" s="132" t="s">
        <v>1313</v>
      </c>
      <c r="L142" s="132" t="s">
        <v>1314</v>
      </c>
      <c r="M142" s="132" t="s">
        <v>1459</v>
      </c>
      <c r="N142" s="132" t="s">
        <v>1117</v>
      </c>
      <c r="O142" s="132" t="s">
        <v>1460</v>
      </c>
      <c r="P142" s="132" t="s">
        <v>1401</v>
      </c>
      <c r="Q142" s="132" t="s">
        <v>1108</v>
      </c>
    </row>
    <row r="143" spans="1:17" x14ac:dyDescent="0.2">
      <c r="A143" t="s">
        <v>212</v>
      </c>
      <c r="B143" s="141">
        <f t="shared" si="2"/>
        <v>6.08</v>
      </c>
      <c r="C143" s="280">
        <v>45591</v>
      </c>
      <c r="D143" s="279">
        <v>45593</v>
      </c>
      <c r="E143" s="279">
        <v>45593</v>
      </c>
      <c r="F143" s="132"/>
      <c r="G143" s="132" t="s">
        <v>1108</v>
      </c>
      <c r="H143" s="132" t="s">
        <v>373</v>
      </c>
      <c r="I143" s="132" t="s">
        <v>1100</v>
      </c>
      <c r="J143" s="132" t="s">
        <v>1101</v>
      </c>
      <c r="K143" s="132" t="s">
        <v>1102</v>
      </c>
      <c r="L143" s="132" t="s">
        <v>1103</v>
      </c>
      <c r="M143" s="132" t="s">
        <v>1461</v>
      </c>
      <c r="N143" s="132" t="s">
        <v>1117</v>
      </c>
      <c r="O143" s="132" t="s">
        <v>1462</v>
      </c>
      <c r="P143" s="132" t="s">
        <v>1401</v>
      </c>
      <c r="Q143" s="132" t="s">
        <v>1108</v>
      </c>
    </row>
    <row r="144" spans="1:17" x14ac:dyDescent="0.2">
      <c r="A144" t="s">
        <v>212</v>
      </c>
      <c r="B144" s="141">
        <f t="shared" si="2"/>
        <v>6.08</v>
      </c>
      <c r="C144" s="280">
        <v>45591</v>
      </c>
      <c r="D144" s="279">
        <v>45593</v>
      </c>
      <c r="E144" s="279">
        <v>45593</v>
      </c>
      <c r="F144" s="132"/>
      <c r="G144" s="132" t="s">
        <v>1463</v>
      </c>
      <c r="H144" s="132" t="s">
        <v>373</v>
      </c>
      <c r="I144" s="132" t="s">
        <v>1100</v>
      </c>
      <c r="J144" s="132" t="s">
        <v>1101</v>
      </c>
      <c r="K144" s="132" t="s">
        <v>1102</v>
      </c>
      <c r="L144" s="132" t="s">
        <v>1103</v>
      </c>
      <c r="M144" s="132" t="s">
        <v>1464</v>
      </c>
      <c r="N144" s="132" t="s">
        <v>1105</v>
      </c>
      <c r="O144" s="132" t="s">
        <v>1465</v>
      </c>
      <c r="P144" s="132" t="s">
        <v>1401</v>
      </c>
      <c r="Q144" s="132" t="s">
        <v>1108</v>
      </c>
    </row>
    <row r="145" spans="1:17" x14ac:dyDescent="0.2">
      <c r="A145" t="s">
        <v>212</v>
      </c>
      <c r="B145" s="141">
        <f t="shared" si="2"/>
        <v>6.08</v>
      </c>
      <c r="C145" s="280">
        <v>45591</v>
      </c>
      <c r="D145" s="279">
        <v>45592</v>
      </c>
      <c r="E145" s="279">
        <v>45593</v>
      </c>
      <c r="F145" s="132"/>
      <c r="G145" s="132" t="s">
        <v>1466</v>
      </c>
      <c r="H145" s="132" t="s">
        <v>373</v>
      </c>
      <c r="I145" s="132" t="s">
        <v>1100</v>
      </c>
      <c r="J145" s="132" t="s">
        <v>1101</v>
      </c>
      <c r="K145" s="132" t="s">
        <v>1102</v>
      </c>
      <c r="L145" s="132" t="s">
        <v>1103</v>
      </c>
      <c r="M145" s="132" t="s">
        <v>1467</v>
      </c>
      <c r="N145" s="132" t="s">
        <v>1105</v>
      </c>
      <c r="O145" s="132" t="s">
        <v>1468</v>
      </c>
      <c r="P145" s="132" t="s">
        <v>1401</v>
      </c>
      <c r="Q145" s="132" t="s">
        <v>1108</v>
      </c>
    </row>
    <row r="146" spans="1:17" x14ac:dyDescent="0.2">
      <c r="A146" t="s">
        <v>212</v>
      </c>
      <c r="B146" s="141">
        <f t="shared" si="2"/>
        <v>6.08</v>
      </c>
      <c r="C146" s="280">
        <v>45591</v>
      </c>
      <c r="D146" s="279">
        <v>45592</v>
      </c>
      <c r="E146" s="279">
        <v>45593</v>
      </c>
      <c r="F146" s="132"/>
      <c r="G146" s="132" t="s">
        <v>1108</v>
      </c>
      <c r="H146" s="132" t="s">
        <v>373</v>
      </c>
      <c r="I146" s="132" t="s">
        <v>1100</v>
      </c>
      <c r="J146" s="132" t="s">
        <v>1101</v>
      </c>
      <c r="K146" s="132" t="s">
        <v>1102</v>
      </c>
      <c r="L146" s="132" t="s">
        <v>1103</v>
      </c>
      <c r="M146" s="132" t="s">
        <v>1469</v>
      </c>
      <c r="N146" s="132" t="s">
        <v>1117</v>
      </c>
      <c r="O146" s="132" t="s">
        <v>1470</v>
      </c>
      <c r="P146" s="132" t="s">
        <v>1401</v>
      </c>
      <c r="Q146" s="132" t="s">
        <v>1108</v>
      </c>
    </row>
    <row r="147" spans="1:17" x14ac:dyDescent="0.2">
      <c r="A147" t="s">
        <v>212</v>
      </c>
      <c r="B147" s="141">
        <f t="shared" si="2"/>
        <v>6.08</v>
      </c>
      <c r="C147" s="280">
        <v>45591</v>
      </c>
      <c r="D147" s="279">
        <v>45592</v>
      </c>
      <c r="E147" s="279">
        <v>45593</v>
      </c>
      <c r="F147" s="132"/>
      <c r="G147" s="132" t="s">
        <v>1108</v>
      </c>
      <c r="H147" s="132" t="s">
        <v>373</v>
      </c>
      <c r="I147" s="132" t="s">
        <v>1100</v>
      </c>
      <c r="J147" s="132" t="s">
        <v>1101</v>
      </c>
      <c r="K147" s="132" t="s">
        <v>1102</v>
      </c>
      <c r="L147" s="132" t="s">
        <v>1103</v>
      </c>
      <c r="M147" s="132" t="s">
        <v>1471</v>
      </c>
      <c r="N147" s="132" t="s">
        <v>1117</v>
      </c>
      <c r="O147" s="132" t="s">
        <v>1472</v>
      </c>
      <c r="P147" s="132" t="s">
        <v>1401</v>
      </c>
      <c r="Q147" s="132" t="s">
        <v>1108</v>
      </c>
    </row>
    <row r="148" spans="1:17" x14ac:dyDescent="0.2">
      <c r="A148" t="s">
        <v>213</v>
      </c>
      <c r="B148" s="141">
        <f t="shared" si="2"/>
        <v>8.0400000000000009</v>
      </c>
      <c r="C148" s="280">
        <v>45591</v>
      </c>
      <c r="D148" s="279">
        <v>45592</v>
      </c>
      <c r="E148" s="279">
        <v>45593</v>
      </c>
      <c r="F148" s="132"/>
      <c r="G148" s="132" t="s">
        <v>1473</v>
      </c>
      <c r="H148" s="132" t="s">
        <v>373</v>
      </c>
      <c r="I148" s="132" t="s">
        <v>1100</v>
      </c>
      <c r="J148" s="132" t="s">
        <v>1171</v>
      </c>
      <c r="K148" s="132" t="s">
        <v>1225</v>
      </c>
      <c r="L148" s="132" t="s">
        <v>1226</v>
      </c>
      <c r="M148" s="281" t="s">
        <v>1474</v>
      </c>
      <c r="N148" s="132" t="s">
        <v>1105</v>
      </c>
      <c r="O148" s="132" t="s">
        <v>1475</v>
      </c>
      <c r="P148" s="132" t="s">
        <v>1401</v>
      </c>
      <c r="Q148" s="132" t="s">
        <v>1108</v>
      </c>
    </row>
    <row r="149" spans="1:17" x14ac:dyDescent="0.2">
      <c r="A149" t="s">
        <v>212</v>
      </c>
      <c r="B149" s="141">
        <f t="shared" si="2"/>
        <v>14.41</v>
      </c>
      <c r="C149" s="280">
        <v>45591</v>
      </c>
      <c r="D149" s="279">
        <v>45592</v>
      </c>
      <c r="E149" s="279">
        <v>45593</v>
      </c>
      <c r="F149" s="132"/>
      <c r="G149" s="132" t="s">
        <v>1108</v>
      </c>
      <c r="H149" s="132" t="s">
        <v>373</v>
      </c>
      <c r="I149" s="132" t="s">
        <v>1100</v>
      </c>
      <c r="J149" s="132" t="s">
        <v>1188</v>
      </c>
      <c r="K149" s="132" t="s">
        <v>1313</v>
      </c>
      <c r="L149" s="132" t="s">
        <v>1314</v>
      </c>
      <c r="M149" s="132" t="s">
        <v>1476</v>
      </c>
      <c r="N149" s="132" t="s">
        <v>1117</v>
      </c>
      <c r="O149" s="132" t="s">
        <v>1477</v>
      </c>
      <c r="P149" s="132" t="s">
        <v>1401</v>
      </c>
      <c r="Q149" s="132" t="s">
        <v>1108</v>
      </c>
    </row>
    <row r="150" spans="1:17" x14ac:dyDescent="0.2">
      <c r="A150" t="s">
        <v>212</v>
      </c>
      <c r="B150" s="141">
        <f t="shared" si="2"/>
        <v>6.08</v>
      </c>
      <c r="C150" s="280">
        <v>45591</v>
      </c>
      <c r="D150" s="279">
        <v>45592</v>
      </c>
      <c r="E150" s="279">
        <v>45593</v>
      </c>
      <c r="F150" s="132"/>
      <c r="G150" s="132" t="s">
        <v>1478</v>
      </c>
      <c r="H150" s="132" t="s">
        <v>373</v>
      </c>
      <c r="I150" s="132" t="s">
        <v>1100</v>
      </c>
      <c r="J150" s="132" t="s">
        <v>1101</v>
      </c>
      <c r="K150" s="132" t="s">
        <v>1102</v>
      </c>
      <c r="L150" s="132" t="s">
        <v>1103</v>
      </c>
      <c r="M150" s="132" t="s">
        <v>1479</v>
      </c>
      <c r="N150" s="132" t="s">
        <v>1105</v>
      </c>
      <c r="O150" s="132" t="s">
        <v>1480</v>
      </c>
      <c r="P150" s="132" t="s">
        <v>1401</v>
      </c>
      <c r="Q150" s="132" t="s">
        <v>1108</v>
      </c>
    </row>
    <row r="151" spans="1:17" x14ac:dyDescent="0.2">
      <c r="A151" t="s">
        <v>212</v>
      </c>
      <c r="B151" s="141">
        <f t="shared" si="2"/>
        <v>6.08</v>
      </c>
      <c r="C151" s="280">
        <v>45591</v>
      </c>
      <c r="D151" s="279">
        <v>45592</v>
      </c>
      <c r="E151" s="279">
        <v>45593</v>
      </c>
      <c r="F151" s="132"/>
      <c r="G151" s="132" t="s">
        <v>1481</v>
      </c>
      <c r="H151" s="132" t="s">
        <v>373</v>
      </c>
      <c r="I151" s="132" t="s">
        <v>1100</v>
      </c>
      <c r="J151" s="132" t="s">
        <v>1101</v>
      </c>
      <c r="K151" s="132" t="s">
        <v>1102</v>
      </c>
      <c r="L151" s="132" t="s">
        <v>1103</v>
      </c>
      <c r="M151" s="132" t="s">
        <v>1482</v>
      </c>
      <c r="N151" s="132" t="s">
        <v>1105</v>
      </c>
      <c r="O151" s="132" t="s">
        <v>1483</v>
      </c>
      <c r="P151" s="132" t="s">
        <v>1401</v>
      </c>
      <c r="Q151" s="132" t="s">
        <v>1108</v>
      </c>
    </row>
    <row r="152" spans="1:17" x14ac:dyDescent="0.2">
      <c r="A152" t="s">
        <v>213</v>
      </c>
      <c r="B152" s="141">
        <f t="shared" si="2"/>
        <v>8.0400000000000009</v>
      </c>
      <c r="C152" s="280">
        <v>45592</v>
      </c>
      <c r="D152" s="279">
        <v>45593</v>
      </c>
      <c r="E152" s="279">
        <v>45593</v>
      </c>
      <c r="F152" s="132"/>
      <c r="G152" s="132" t="s">
        <v>1484</v>
      </c>
      <c r="H152" s="132" t="s">
        <v>373</v>
      </c>
      <c r="I152" s="132" t="s">
        <v>1100</v>
      </c>
      <c r="J152" s="132" t="s">
        <v>1171</v>
      </c>
      <c r="K152" s="132" t="s">
        <v>1225</v>
      </c>
      <c r="L152" s="132" t="s">
        <v>1226</v>
      </c>
      <c r="M152" s="132" t="s">
        <v>1485</v>
      </c>
      <c r="N152" s="132" t="s">
        <v>1105</v>
      </c>
      <c r="O152" s="132" t="s">
        <v>1486</v>
      </c>
      <c r="P152" s="132" t="s">
        <v>1401</v>
      </c>
      <c r="Q152" s="132" t="s">
        <v>1108</v>
      </c>
    </row>
    <row r="153" spans="1:17" x14ac:dyDescent="0.2">
      <c r="A153" t="s">
        <v>212</v>
      </c>
      <c r="B153" s="141">
        <f t="shared" si="2"/>
        <v>6.08</v>
      </c>
      <c r="C153" s="280">
        <v>45592</v>
      </c>
      <c r="D153" s="279">
        <v>45593</v>
      </c>
      <c r="E153" s="279">
        <v>45593</v>
      </c>
      <c r="F153" s="132"/>
      <c r="G153" s="132" t="s">
        <v>1108</v>
      </c>
      <c r="H153" s="132" t="s">
        <v>373</v>
      </c>
      <c r="I153" s="132" t="s">
        <v>1100</v>
      </c>
      <c r="J153" s="132" t="s">
        <v>1101</v>
      </c>
      <c r="K153" s="132" t="s">
        <v>1102</v>
      </c>
      <c r="L153" s="132" t="s">
        <v>1103</v>
      </c>
      <c r="M153" s="132" t="s">
        <v>1487</v>
      </c>
      <c r="N153" s="132" t="s">
        <v>1117</v>
      </c>
      <c r="O153" s="132" t="s">
        <v>1488</v>
      </c>
      <c r="P153" s="132" t="s">
        <v>1401</v>
      </c>
      <c r="Q153" s="132" t="s">
        <v>1108</v>
      </c>
    </row>
    <row r="154" spans="1:17" x14ac:dyDescent="0.2">
      <c r="A154" t="s">
        <v>212</v>
      </c>
      <c r="B154" s="141">
        <f t="shared" si="2"/>
        <v>14.41</v>
      </c>
      <c r="C154" s="280">
        <v>45592</v>
      </c>
      <c r="D154" s="279">
        <v>45593</v>
      </c>
      <c r="E154" s="279">
        <v>45593</v>
      </c>
      <c r="F154" s="132"/>
      <c r="G154" s="132" t="s">
        <v>1108</v>
      </c>
      <c r="H154" s="132" t="s">
        <v>373</v>
      </c>
      <c r="I154" s="132" t="s">
        <v>1100</v>
      </c>
      <c r="J154" s="132" t="s">
        <v>1188</v>
      </c>
      <c r="K154" s="132" t="s">
        <v>1313</v>
      </c>
      <c r="L154" s="132" t="s">
        <v>1314</v>
      </c>
      <c r="M154" s="132" t="s">
        <v>1489</v>
      </c>
      <c r="N154" s="132" t="s">
        <v>1117</v>
      </c>
      <c r="O154" s="281" t="s">
        <v>1490</v>
      </c>
      <c r="P154" s="132" t="s">
        <v>1401</v>
      </c>
      <c r="Q154" s="132" t="s">
        <v>1108</v>
      </c>
    </row>
    <row r="155" spans="1:17" x14ac:dyDescent="0.2">
      <c r="A155" t="s">
        <v>213</v>
      </c>
      <c r="B155" s="141">
        <f t="shared" si="2"/>
        <v>8.0400000000000009</v>
      </c>
      <c r="C155" s="280">
        <v>45592</v>
      </c>
      <c r="D155" s="279">
        <v>45593</v>
      </c>
      <c r="E155" s="279">
        <v>45593</v>
      </c>
      <c r="F155" s="132"/>
      <c r="G155" s="132" t="s">
        <v>1108</v>
      </c>
      <c r="H155" s="132" t="s">
        <v>373</v>
      </c>
      <c r="I155" s="132" t="s">
        <v>1100</v>
      </c>
      <c r="J155" s="132" t="s">
        <v>1171</v>
      </c>
      <c r="K155" s="132" t="s">
        <v>1225</v>
      </c>
      <c r="L155" s="132" t="s">
        <v>1226</v>
      </c>
      <c r="M155" s="132" t="s">
        <v>1491</v>
      </c>
      <c r="N155" s="132" t="s">
        <v>1117</v>
      </c>
      <c r="O155" s="132" t="s">
        <v>1492</v>
      </c>
      <c r="P155" s="132" t="s">
        <v>1401</v>
      </c>
      <c r="Q155" s="132" t="s">
        <v>1108</v>
      </c>
    </row>
    <row r="156" spans="1:17" x14ac:dyDescent="0.2">
      <c r="A156" t="s">
        <v>212</v>
      </c>
      <c r="B156" s="141">
        <f t="shared" si="2"/>
        <v>6.08</v>
      </c>
      <c r="C156" s="280">
        <v>45592</v>
      </c>
      <c r="D156" s="279">
        <v>45592</v>
      </c>
      <c r="E156" s="279">
        <v>45593</v>
      </c>
      <c r="F156" s="132"/>
      <c r="G156" s="132" t="s">
        <v>1108</v>
      </c>
      <c r="H156" s="132" t="s">
        <v>373</v>
      </c>
      <c r="I156" s="132" t="s">
        <v>1100</v>
      </c>
      <c r="J156" s="132" t="s">
        <v>1101</v>
      </c>
      <c r="K156" s="132" t="s">
        <v>1102</v>
      </c>
      <c r="L156" s="132" t="s">
        <v>1103</v>
      </c>
      <c r="M156" s="132" t="s">
        <v>1493</v>
      </c>
      <c r="N156" s="132" t="s">
        <v>1117</v>
      </c>
      <c r="O156" s="132" t="s">
        <v>1494</v>
      </c>
      <c r="P156" s="132" t="s">
        <v>1401</v>
      </c>
      <c r="Q156" s="132" t="s">
        <v>1108</v>
      </c>
    </row>
    <row r="157" spans="1:17" x14ac:dyDescent="0.2">
      <c r="A157" t="s">
        <v>212</v>
      </c>
      <c r="B157" s="141">
        <f t="shared" si="2"/>
        <v>6.04</v>
      </c>
      <c r="C157" s="280">
        <v>45590</v>
      </c>
      <c r="D157" s="279">
        <v>45593</v>
      </c>
      <c r="E157" s="279">
        <v>45594</v>
      </c>
      <c r="F157" s="132"/>
      <c r="G157" s="132" t="s">
        <v>1108</v>
      </c>
      <c r="H157" s="132" t="s">
        <v>373</v>
      </c>
      <c r="I157" s="132" t="s">
        <v>1100</v>
      </c>
      <c r="J157" s="132" t="s">
        <v>1101</v>
      </c>
      <c r="K157" s="132" t="s">
        <v>1109</v>
      </c>
      <c r="L157" s="132" t="s">
        <v>1110</v>
      </c>
      <c r="M157" s="132" t="s">
        <v>1495</v>
      </c>
      <c r="N157" s="132" t="s">
        <v>1112</v>
      </c>
      <c r="O157" s="132" t="s">
        <v>1496</v>
      </c>
      <c r="P157" s="132" t="s">
        <v>1497</v>
      </c>
      <c r="Q157" s="132" t="s">
        <v>1108</v>
      </c>
    </row>
    <row r="158" spans="1:17" x14ac:dyDescent="0.2">
      <c r="A158" t="s">
        <v>212</v>
      </c>
      <c r="B158" s="141">
        <f t="shared" si="2"/>
        <v>6.04</v>
      </c>
      <c r="C158" s="280">
        <v>45590</v>
      </c>
      <c r="D158" s="279">
        <v>45593</v>
      </c>
      <c r="E158" s="279">
        <v>45594</v>
      </c>
      <c r="F158" s="132"/>
      <c r="G158" s="132" t="s">
        <v>1108</v>
      </c>
      <c r="H158" s="132" t="s">
        <v>373</v>
      </c>
      <c r="I158" s="132" t="s">
        <v>1100</v>
      </c>
      <c r="J158" s="132" t="s">
        <v>1101</v>
      </c>
      <c r="K158" s="132" t="s">
        <v>1109</v>
      </c>
      <c r="L158" s="132" t="s">
        <v>1110</v>
      </c>
      <c r="M158" s="132" t="s">
        <v>1498</v>
      </c>
      <c r="N158" s="132" t="s">
        <v>1112</v>
      </c>
      <c r="O158" s="132" t="s">
        <v>1499</v>
      </c>
      <c r="P158" s="132" t="s">
        <v>1497</v>
      </c>
      <c r="Q158" s="132" t="s">
        <v>1108</v>
      </c>
    </row>
    <row r="159" spans="1:17" x14ac:dyDescent="0.2">
      <c r="A159" t="s">
        <v>212</v>
      </c>
      <c r="B159" s="141">
        <f t="shared" si="2"/>
        <v>6.04</v>
      </c>
      <c r="C159" s="280">
        <v>45590</v>
      </c>
      <c r="D159" s="279">
        <v>45593</v>
      </c>
      <c r="E159" s="279">
        <v>45594</v>
      </c>
      <c r="F159" s="132"/>
      <c r="G159" s="132" t="s">
        <v>1108</v>
      </c>
      <c r="H159" s="132" t="s">
        <v>373</v>
      </c>
      <c r="I159" s="132" t="s">
        <v>1100</v>
      </c>
      <c r="J159" s="132" t="s">
        <v>1101</v>
      </c>
      <c r="K159" s="132" t="s">
        <v>1109</v>
      </c>
      <c r="L159" s="132" t="s">
        <v>1110</v>
      </c>
      <c r="M159" s="132" t="s">
        <v>1500</v>
      </c>
      <c r="N159" s="132" t="s">
        <v>1112</v>
      </c>
      <c r="O159" s="132" t="s">
        <v>1501</v>
      </c>
      <c r="P159" s="132" t="s">
        <v>1497</v>
      </c>
      <c r="Q159" s="132" t="s">
        <v>1108</v>
      </c>
    </row>
    <row r="160" spans="1:17" x14ac:dyDescent="0.2">
      <c r="A160" t="s">
        <v>212</v>
      </c>
      <c r="B160" s="141">
        <f t="shared" si="2"/>
        <v>6.04</v>
      </c>
      <c r="C160" s="280">
        <v>45590</v>
      </c>
      <c r="D160" s="279">
        <v>45593</v>
      </c>
      <c r="E160" s="279">
        <v>45594</v>
      </c>
      <c r="F160" s="132"/>
      <c r="G160" s="132" t="s">
        <v>1108</v>
      </c>
      <c r="H160" s="132" t="s">
        <v>373</v>
      </c>
      <c r="I160" s="132" t="s">
        <v>1100</v>
      </c>
      <c r="J160" s="132" t="s">
        <v>1101</v>
      </c>
      <c r="K160" s="132" t="s">
        <v>1109</v>
      </c>
      <c r="L160" s="132" t="s">
        <v>1110</v>
      </c>
      <c r="M160" s="132" t="s">
        <v>1502</v>
      </c>
      <c r="N160" s="132" t="s">
        <v>1112</v>
      </c>
      <c r="O160" s="132" t="s">
        <v>1503</v>
      </c>
      <c r="P160" s="132" t="s">
        <v>1497</v>
      </c>
      <c r="Q160" s="132" t="s">
        <v>1108</v>
      </c>
    </row>
    <row r="161" spans="1:17" x14ac:dyDescent="0.2">
      <c r="A161" t="s">
        <v>212</v>
      </c>
      <c r="B161" s="141">
        <f t="shared" si="2"/>
        <v>6.08</v>
      </c>
      <c r="C161" s="280">
        <v>45591</v>
      </c>
      <c r="D161" s="279">
        <v>45593</v>
      </c>
      <c r="E161" s="279">
        <v>45594</v>
      </c>
      <c r="F161" s="132"/>
      <c r="G161" s="132" t="s">
        <v>1504</v>
      </c>
      <c r="H161" s="132" t="s">
        <v>373</v>
      </c>
      <c r="I161" s="132" t="s">
        <v>1100</v>
      </c>
      <c r="J161" s="132" t="s">
        <v>1101</v>
      </c>
      <c r="K161" s="132" t="s">
        <v>1102</v>
      </c>
      <c r="L161" s="132" t="s">
        <v>1103</v>
      </c>
      <c r="M161" s="132" t="s">
        <v>1505</v>
      </c>
      <c r="N161" s="132" t="s">
        <v>1105</v>
      </c>
      <c r="O161" s="132" t="s">
        <v>1506</v>
      </c>
      <c r="P161" s="132" t="s">
        <v>1497</v>
      </c>
      <c r="Q161" s="132" t="s">
        <v>1108</v>
      </c>
    </row>
    <row r="162" spans="1:17" x14ac:dyDescent="0.2">
      <c r="A162" t="s">
        <v>212</v>
      </c>
      <c r="B162" s="141">
        <f t="shared" si="2"/>
        <v>6.04</v>
      </c>
      <c r="C162" s="280">
        <v>45591</v>
      </c>
      <c r="D162" s="279">
        <v>45593</v>
      </c>
      <c r="E162" s="279">
        <v>45594</v>
      </c>
      <c r="F162" s="132"/>
      <c r="G162" s="132" t="s">
        <v>1108</v>
      </c>
      <c r="H162" s="132" t="s">
        <v>373</v>
      </c>
      <c r="I162" s="132" t="s">
        <v>1100</v>
      </c>
      <c r="J162" s="132" t="s">
        <v>1101</v>
      </c>
      <c r="K162" s="132" t="s">
        <v>1109</v>
      </c>
      <c r="L162" s="132" t="s">
        <v>1110</v>
      </c>
      <c r="M162" s="132" t="s">
        <v>1507</v>
      </c>
      <c r="N162" s="132" t="s">
        <v>1112</v>
      </c>
      <c r="O162" s="132" t="s">
        <v>1508</v>
      </c>
      <c r="P162" s="132" t="s">
        <v>1497</v>
      </c>
      <c r="Q162" s="132" t="s">
        <v>1108</v>
      </c>
    </row>
    <row r="163" spans="1:17" x14ac:dyDescent="0.2">
      <c r="A163" t="s">
        <v>212</v>
      </c>
      <c r="B163" s="141">
        <f t="shared" si="2"/>
        <v>6.04</v>
      </c>
      <c r="C163" s="280">
        <v>45591</v>
      </c>
      <c r="D163" s="279">
        <v>45593</v>
      </c>
      <c r="E163" s="279">
        <v>45594</v>
      </c>
      <c r="F163" s="132"/>
      <c r="G163" s="132" t="s">
        <v>1108</v>
      </c>
      <c r="H163" s="132" t="s">
        <v>373</v>
      </c>
      <c r="I163" s="132" t="s">
        <v>1100</v>
      </c>
      <c r="J163" s="132" t="s">
        <v>1101</v>
      </c>
      <c r="K163" s="132" t="s">
        <v>1109</v>
      </c>
      <c r="L163" s="132" t="s">
        <v>1110</v>
      </c>
      <c r="M163" s="132" t="s">
        <v>1509</v>
      </c>
      <c r="N163" s="132" t="s">
        <v>1112</v>
      </c>
      <c r="O163" s="281" t="s">
        <v>1510</v>
      </c>
      <c r="P163" s="132" t="s">
        <v>1497</v>
      </c>
      <c r="Q163" s="132" t="s">
        <v>1108</v>
      </c>
    </row>
    <row r="164" spans="1:17" x14ac:dyDescent="0.2">
      <c r="A164" t="s">
        <v>212</v>
      </c>
      <c r="B164" s="141">
        <f t="shared" si="2"/>
        <v>6.04</v>
      </c>
      <c r="C164" s="280">
        <v>45591</v>
      </c>
      <c r="D164" s="279">
        <v>45593</v>
      </c>
      <c r="E164" s="279">
        <v>45594</v>
      </c>
      <c r="F164" s="132"/>
      <c r="G164" s="132" t="s">
        <v>1108</v>
      </c>
      <c r="H164" s="132" t="s">
        <v>373</v>
      </c>
      <c r="I164" s="132" t="s">
        <v>1100</v>
      </c>
      <c r="J164" s="132" t="s">
        <v>1101</v>
      </c>
      <c r="K164" s="132" t="s">
        <v>1109</v>
      </c>
      <c r="L164" s="132" t="s">
        <v>1110</v>
      </c>
      <c r="M164" s="132" t="s">
        <v>1511</v>
      </c>
      <c r="N164" s="132" t="s">
        <v>1112</v>
      </c>
      <c r="O164" s="132" t="s">
        <v>1512</v>
      </c>
      <c r="P164" s="132" t="s">
        <v>1497</v>
      </c>
      <c r="Q164" s="132" t="s">
        <v>1108</v>
      </c>
    </row>
    <row r="165" spans="1:17" x14ac:dyDescent="0.2">
      <c r="A165" t="s">
        <v>212</v>
      </c>
      <c r="B165" s="141">
        <f t="shared" si="2"/>
        <v>6.04</v>
      </c>
      <c r="C165" s="280">
        <v>45591</v>
      </c>
      <c r="D165" s="279">
        <v>45593</v>
      </c>
      <c r="E165" s="279">
        <v>45594</v>
      </c>
      <c r="F165" s="132"/>
      <c r="G165" s="132" t="s">
        <v>1108</v>
      </c>
      <c r="H165" s="132" t="s">
        <v>373</v>
      </c>
      <c r="I165" s="132" t="s">
        <v>1100</v>
      </c>
      <c r="J165" s="132" t="s">
        <v>1101</v>
      </c>
      <c r="K165" s="132" t="s">
        <v>1109</v>
      </c>
      <c r="L165" s="132" t="s">
        <v>1110</v>
      </c>
      <c r="M165" s="132" t="s">
        <v>1513</v>
      </c>
      <c r="N165" s="132" t="s">
        <v>1112</v>
      </c>
      <c r="O165" s="132" t="s">
        <v>1514</v>
      </c>
      <c r="P165" s="132" t="s">
        <v>1497</v>
      </c>
      <c r="Q165" s="132" t="s">
        <v>1108</v>
      </c>
    </row>
    <row r="166" spans="1:17" x14ac:dyDescent="0.2">
      <c r="A166" t="s">
        <v>212</v>
      </c>
      <c r="B166" s="141">
        <f t="shared" si="2"/>
        <v>6.04</v>
      </c>
      <c r="C166" s="280">
        <v>45591</v>
      </c>
      <c r="D166" s="279">
        <v>45593</v>
      </c>
      <c r="E166" s="279">
        <v>45594</v>
      </c>
      <c r="F166" s="132"/>
      <c r="G166" s="132" t="s">
        <v>1108</v>
      </c>
      <c r="H166" s="132" t="s">
        <v>373</v>
      </c>
      <c r="I166" s="132" t="s">
        <v>1100</v>
      </c>
      <c r="J166" s="132" t="s">
        <v>1101</v>
      </c>
      <c r="K166" s="132" t="s">
        <v>1109</v>
      </c>
      <c r="L166" s="132" t="s">
        <v>1110</v>
      </c>
      <c r="M166" s="132" t="s">
        <v>1515</v>
      </c>
      <c r="N166" s="132" t="s">
        <v>1112</v>
      </c>
      <c r="O166" s="132" t="s">
        <v>1516</v>
      </c>
      <c r="P166" s="132" t="s">
        <v>1497</v>
      </c>
      <c r="Q166" s="132" t="s">
        <v>1108</v>
      </c>
    </row>
    <row r="167" spans="1:17" x14ac:dyDescent="0.2">
      <c r="A167" t="s">
        <v>212</v>
      </c>
      <c r="B167" s="141">
        <f t="shared" si="2"/>
        <v>6.04</v>
      </c>
      <c r="C167" s="280">
        <v>45591</v>
      </c>
      <c r="D167" s="279">
        <v>45593</v>
      </c>
      <c r="E167" s="279">
        <v>45594</v>
      </c>
      <c r="F167" s="132"/>
      <c r="G167" s="132" t="s">
        <v>1108</v>
      </c>
      <c r="H167" s="132" t="s">
        <v>373</v>
      </c>
      <c r="I167" s="132" t="s">
        <v>1100</v>
      </c>
      <c r="J167" s="132" t="s">
        <v>1101</v>
      </c>
      <c r="K167" s="132" t="s">
        <v>1109</v>
      </c>
      <c r="L167" s="132" t="s">
        <v>1110</v>
      </c>
      <c r="M167" s="132" t="s">
        <v>1517</v>
      </c>
      <c r="N167" s="132" t="s">
        <v>1112</v>
      </c>
      <c r="O167" s="132" t="s">
        <v>1518</v>
      </c>
      <c r="P167" s="132" t="s">
        <v>1497</v>
      </c>
      <c r="Q167" s="132" t="s">
        <v>1108</v>
      </c>
    </row>
    <row r="168" spans="1:17" x14ac:dyDescent="0.2">
      <c r="A168" t="s">
        <v>213</v>
      </c>
      <c r="B168" s="141">
        <f t="shared" si="2"/>
        <v>16.27</v>
      </c>
      <c r="C168" s="280">
        <v>45591</v>
      </c>
      <c r="D168" s="279">
        <v>45593</v>
      </c>
      <c r="E168" s="279">
        <v>45594</v>
      </c>
      <c r="F168" s="132"/>
      <c r="G168" s="132" t="s">
        <v>1108</v>
      </c>
      <c r="H168" s="132" t="s">
        <v>373</v>
      </c>
      <c r="I168" s="132" t="s">
        <v>1100</v>
      </c>
      <c r="J168" s="132" t="s">
        <v>1199</v>
      </c>
      <c r="K168" s="132" t="s">
        <v>1519</v>
      </c>
      <c r="L168" s="132" t="s">
        <v>1520</v>
      </c>
      <c r="M168" s="132" t="s">
        <v>1521</v>
      </c>
      <c r="N168" s="132" t="s">
        <v>1112</v>
      </c>
      <c r="O168" s="132" t="s">
        <v>1522</v>
      </c>
      <c r="P168" s="132" t="s">
        <v>1497</v>
      </c>
      <c r="Q168" s="132" t="s">
        <v>1108</v>
      </c>
    </row>
    <row r="169" spans="1:17" x14ac:dyDescent="0.2">
      <c r="A169" t="s">
        <v>213</v>
      </c>
      <c r="B169" s="141">
        <f t="shared" si="2"/>
        <v>7.99</v>
      </c>
      <c r="C169" s="280">
        <v>45591</v>
      </c>
      <c r="D169" s="279">
        <v>45593</v>
      </c>
      <c r="E169" s="279">
        <v>45594</v>
      </c>
      <c r="F169" s="132"/>
      <c r="G169" s="132" t="s">
        <v>1108</v>
      </c>
      <c r="H169" s="132" t="s">
        <v>373</v>
      </c>
      <c r="I169" s="132" t="s">
        <v>1100</v>
      </c>
      <c r="J169" s="132" t="s">
        <v>1171</v>
      </c>
      <c r="K169" s="132" t="s">
        <v>1172</v>
      </c>
      <c r="L169" s="132" t="s">
        <v>1173</v>
      </c>
      <c r="M169" s="132" t="s">
        <v>1523</v>
      </c>
      <c r="N169" s="132" t="s">
        <v>1112</v>
      </c>
      <c r="O169" s="132" t="s">
        <v>1524</v>
      </c>
      <c r="P169" s="132" t="s">
        <v>1497</v>
      </c>
      <c r="Q169" s="132" t="s">
        <v>1108</v>
      </c>
    </row>
    <row r="170" spans="1:17" x14ac:dyDescent="0.2">
      <c r="A170" t="s">
        <v>212</v>
      </c>
      <c r="B170" s="141">
        <f t="shared" si="2"/>
        <v>6.04</v>
      </c>
      <c r="C170" s="280">
        <v>45591</v>
      </c>
      <c r="D170" s="279">
        <v>45593</v>
      </c>
      <c r="E170" s="279">
        <v>45594</v>
      </c>
      <c r="F170" s="132"/>
      <c r="G170" s="132" t="s">
        <v>1108</v>
      </c>
      <c r="H170" s="132" t="s">
        <v>373</v>
      </c>
      <c r="I170" s="132" t="s">
        <v>1100</v>
      </c>
      <c r="J170" s="132" t="s">
        <v>1101</v>
      </c>
      <c r="K170" s="132" t="s">
        <v>1109</v>
      </c>
      <c r="L170" s="132" t="s">
        <v>1110</v>
      </c>
      <c r="M170" s="132" t="s">
        <v>1525</v>
      </c>
      <c r="N170" s="132" t="s">
        <v>1112</v>
      </c>
      <c r="O170" s="132" t="s">
        <v>1526</v>
      </c>
      <c r="P170" s="132" t="s">
        <v>1497</v>
      </c>
      <c r="Q170" s="132" t="s">
        <v>1108</v>
      </c>
    </row>
    <row r="171" spans="1:17" x14ac:dyDescent="0.2">
      <c r="A171" t="s">
        <v>212</v>
      </c>
      <c r="B171" s="141">
        <f t="shared" si="2"/>
        <v>6.04</v>
      </c>
      <c r="C171" s="280">
        <v>45591</v>
      </c>
      <c r="D171" s="279">
        <v>45593</v>
      </c>
      <c r="E171" s="279">
        <v>45594</v>
      </c>
      <c r="F171" s="132"/>
      <c r="G171" s="132" t="s">
        <v>1108</v>
      </c>
      <c r="H171" s="132" t="s">
        <v>373</v>
      </c>
      <c r="I171" s="132" t="s">
        <v>1100</v>
      </c>
      <c r="J171" s="132" t="s">
        <v>1101</v>
      </c>
      <c r="K171" s="132" t="s">
        <v>1109</v>
      </c>
      <c r="L171" s="132" t="s">
        <v>1110</v>
      </c>
      <c r="M171" s="132" t="s">
        <v>1527</v>
      </c>
      <c r="N171" s="132" t="s">
        <v>1112</v>
      </c>
      <c r="O171" s="132" t="s">
        <v>1528</v>
      </c>
      <c r="P171" s="132" t="s">
        <v>1497</v>
      </c>
      <c r="Q171" s="132" t="s">
        <v>1108</v>
      </c>
    </row>
    <row r="172" spans="1:17" x14ac:dyDescent="0.2">
      <c r="A172" t="s">
        <v>212</v>
      </c>
      <c r="B172" s="141">
        <f t="shared" si="2"/>
        <v>6.04</v>
      </c>
      <c r="C172" s="280">
        <v>45592</v>
      </c>
      <c r="D172" s="279">
        <v>45593</v>
      </c>
      <c r="E172" s="279">
        <v>45594</v>
      </c>
      <c r="F172" s="132"/>
      <c r="G172" s="132" t="s">
        <v>1108</v>
      </c>
      <c r="H172" s="132" t="s">
        <v>373</v>
      </c>
      <c r="I172" s="132" t="s">
        <v>1100</v>
      </c>
      <c r="J172" s="132" t="s">
        <v>1101</v>
      </c>
      <c r="K172" s="132" t="s">
        <v>1109</v>
      </c>
      <c r="L172" s="132" t="s">
        <v>1110</v>
      </c>
      <c r="M172" s="132" t="s">
        <v>1529</v>
      </c>
      <c r="N172" s="132" t="s">
        <v>1112</v>
      </c>
      <c r="O172" s="132" t="s">
        <v>1530</v>
      </c>
      <c r="P172" s="132" t="s">
        <v>1497</v>
      </c>
      <c r="Q172" s="132" t="s">
        <v>1108</v>
      </c>
    </row>
    <row r="173" spans="1:17" x14ac:dyDescent="0.2">
      <c r="A173" t="s">
        <v>212</v>
      </c>
      <c r="B173" s="141">
        <f t="shared" si="2"/>
        <v>6.08</v>
      </c>
      <c r="C173" s="280">
        <v>45592</v>
      </c>
      <c r="D173" s="279">
        <v>45593</v>
      </c>
      <c r="E173" s="279">
        <v>45594</v>
      </c>
      <c r="F173" s="132"/>
      <c r="G173" s="132" t="s">
        <v>1531</v>
      </c>
      <c r="H173" s="132" t="s">
        <v>373</v>
      </c>
      <c r="I173" s="132" t="s">
        <v>1100</v>
      </c>
      <c r="J173" s="132" t="s">
        <v>1101</v>
      </c>
      <c r="K173" s="132" t="s">
        <v>1102</v>
      </c>
      <c r="L173" s="132" t="s">
        <v>1103</v>
      </c>
      <c r="M173" s="132" t="s">
        <v>1532</v>
      </c>
      <c r="N173" s="132" t="s">
        <v>1105</v>
      </c>
      <c r="O173" s="132" t="s">
        <v>1533</v>
      </c>
      <c r="P173" s="132" t="s">
        <v>1497</v>
      </c>
      <c r="Q173" s="132" t="s">
        <v>1108</v>
      </c>
    </row>
    <row r="174" spans="1:17" x14ac:dyDescent="0.2">
      <c r="A174" t="s">
        <v>212</v>
      </c>
      <c r="B174" s="141">
        <f t="shared" si="2"/>
        <v>6.08</v>
      </c>
      <c r="C174" s="280">
        <v>45592</v>
      </c>
      <c r="D174" s="279">
        <v>45593</v>
      </c>
      <c r="E174" s="279">
        <v>45594</v>
      </c>
      <c r="F174" s="132"/>
      <c r="G174" s="132" t="s">
        <v>1108</v>
      </c>
      <c r="H174" s="132" t="s">
        <v>373</v>
      </c>
      <c r="I174" s="132" t="s">
        <v>1100</v>
      </c>
      <c r="J174" s="132" t="s">
        <v>1101</v>
      </c>
      <c r="K174" s="132" t="s">
        <v>1102</v>
      </c>
      <c r="L174" s="132" t="s">
        <v>1103</v>
      </c>
      <c r="M174" s="132" t="s">
        <v>1534</v>
      </c>
      <c r="N174" s="132" t="s">
        <v>1117</v>
      </c>
      <c r="O174" s="132" t="s">
        <v>1535</v>
      </c>
      <c r="P174" s="132" t="s">
        <v>1497</v>
      </c>
      <c r="Q174" s="132" t="s">
        <v>1108</v>
      </c>
    </row>
    <row r="175" spans="1:17" x14ac:dyDescent="0.2">
      <c r="A175" t="s">
        <v>212</v>
      </c>
      <c r="B175" s="141">
        <f t="shared" si="2"/>
        <v>6.08</v>
      </c>
      <c r="C175" s="280">
        <v>45592</v>
      </c>
      <c r="D175" s="279">
        <v>45593</v>
      </c>
      <c r="E175" s="279">
        <v>45594</v>
      </c>
      <c r="F175" s="132"/>
      <c r="G175" s="132" t="s">
        <v>1108</v>
      </c>
      <c r="H175" s="132" t="s">
        <v>373</v>
      </c>
      <c r="I175" s="132" t="s">
        <v>1100</v>
      </c>
      <c r="J175" s="132" t="s">
        <v>1101</v>
      </c>
      <c r="K175" s="132" t="s">
        <v>1102</v>
      </c>
      <c r="L175" s="132" t="s">
        <v>1103</v>
      </c>
      <c r="M175" s="132" t="s">
        <v>1536</v>
      </c>
      <c r="N175" s="132" t="s">
        <v>1117</v>
      </c>
      <c r="O175" s="132" t="s">
        <v>1537</v>
      </c>
      <c r="P175" s="132" t="s">
        <v>1497</v>
      </c>
      <c r="Q175" s="132" t="s">
        <v>1108</v>
      </c>
    </row>
    <row r="176" spans="1:17" x14ac:dyDescent="0.2">
      <c r="A176" t="s">
        <v>212</v>
      </c>
      <c r="B176" s="141">
        <f t="shared" si="2"/>
        <v>6.08</v>
      </c>
      <c r="C176" s="280">
        <v>45592</v>
      </c>
      <c r="D176" s="279">
        <v>45594</v>
      </c>
      <c r="E176" s="279">
        <v>45594</v>
      </c>
      <c r="F176" s="132"/>
      <c r="G176" s="132" t="s">
        <v>1538</v>
      </c>
      <c r="H176" s="132" t="s">
        <v>373</v>
      </c>
      <c r="I176" s="132" t="s">
        <v>1100</v>
      </c>
      <c r="J176" s="132" t="s">
        <v>1101</v>
      </c>
      <c r="K176" s="132" t="s">
        <v>1102</v>
      </c>
      <c r="L176" s="132" t="s">
        <v>1103</v>
      </c>
      <c r="M176" s="132" t="s">
        <v>1539</v>
      </c>
      <c r="N176" s="132" t="s">
        <v>1105</v>
      </c>
      <c r="O176" s="132" t="s">
        <v>1540</v>
      </c>
      <c r="P176" s="132" t="s">
        <v>1497</v>
      </c>
      <c r="Q176" s="132" t="s">
        <v>1108</v>
      </c>
    </row>
    <row r="177" spans="1:17" x14ac:dyDescent="0.2">
      <c r="A177" t="s">
        <v>212</v>
      </c>
      <c r="B177" s="141">
        <f t="shared" si="2"/>
        <v>6.04</v>
      </c>
      <c r="C177" s="280">
        <v>45592</v>
      </c>
      <c r="D177" s="279">
        <v>45593</v>
      </c>
      <c r="E177" s="279">
        <v>45594</v>
      </c>
      <c r="F177" s="132"/>
      <c r="G177" s="132" t="s">
        <v>1108</v>
      </c>
      <c r="H177" s="132" t="s">
        <v>373</v>
      </c>
      <c r="I177" s="132" t="s">
        <v>1100</v>
      </c>
      <c r="J177" s="132" t="s">
        <v>1101</v>
      </c>
      <c r="K177" s="132" t="s">
        <v>1109</v>
      </c>
      <c r="L177" s="132" t="s">
        <v>1110</v>
      </c>
      <c r="M177" s="132" t="s">
        <v>1541</v>
      </c>
      <c r="N177" s="132" t="s">
        <v>1112</v>
      </c>
      <c r="O177" s="132" t="s">
        <v>1542</v>
      </c>
      <c r="P177" s="132" t="s">
        <v>1497</v>
      </c>
      <c r="Q177" s="132" t="s">
        <v>1108</v>
      </c>
    </row>
    <row r="178" spans="1:17" x14ac:dyDescent="0.2">
      <c r="A178" t="s">
        <v>212</v>
      </c>
      <c r="B178" s="141">
        <f t="shared" si="2"/>
        <v>6.08</v>
      </c>
      <c r="C178" s="280">
        <v>45592</v>
      </c>
      <c r="D178" s="279">
        <v>45594</v>
      </c>
      <c r="E178" s="279">
        <v>45594</v>
      </c>
      <c r="F178" s="132"/>
      <c r="G178" s="132" t="s">
        <v>1108</v>
      </c>
      <c r="H178" s="132" t="s">
        <v>373</v>
      </c>
      <c r="I178" s="132" t="s">
        <v>1100</v>
      </c>
      <c r="J178" s="132" t="s">
        <v>1101</v>
      </c>
      <c r="K178" s="132" t="s">
        <v>1102</v>
      </c>
      <c r="L178" s="132" t="s">
        <v>1103</v>
      </c>
      <c r="M178" s="132" t="s">
        <v>1543</v>
      </c>
      <c r="N178" s="132" t="s">
        <v>1117</v>
      </c>
      <c r="O178" s="132" t="s">
        <v>1544</v>
      </c>
      <c r="P178" s="132" t="s">
        <v>1497</v>
      </c>
      <c r="Q178" s="132" t="s">
        <v>1108</v>
      </c>
    </row>
    <row r="179" spans="1:17" x14ac:dyDescent="0.2">
      <c r="A179" t="s">
        <v>212</v>
      </c>
      <c r="B179" s="141">
        <f t="shared" si="2"/>
        <v>6.08</v>
      </c>
      <c r="C179" s="280">
        <v>45592</v>
      </c>
      <c r="D179" s="279">
        <v>45593</v>
      </c>
      <c r="E179" s="279">
        <v>45594</v>
      </c>
      <c r="F179" s="132"/>
      <c r="G179" s="132" t="s">
        <v>1545</v>
      </c>
      <c r="H179" s="132" t="s">
        <v>373</v>
      </c>
      <c r="I179" s="132" t="s">
        <v>1100</v>
      </c>
      <c r="J179" s="132" t="s">
        <v>1101</v>
      </c>
      <c r="K179" s="132" t="s">
        <v>1102</v>
      </c>
      <c r="L179" s="132" t="s">
        <v>1103</v>
      </c>
      <c r="M179" s="132" t="s">
        <v>1546</v>
      </c>
      <c r="N179" s="132" t="s">
        <v>1105</v>
      </c>
      <c r="O179" s="132" t="s">
        <v>1547</v>
      </c>
      <c r="P179" s="132" t="s">
        <v>1497</v>
      </c>
      <c r="Q179" s="132" t="s">
        <v>1108</v>
      </c>
    </row>
    <row r="180" spans="1:17" x14ac:dyDescent="0.2">
      <c r="A180" t="s">
        <v>212</v>
      </c>
      <c r="B180" s="141">
        <f t="shared" si="2"/>
        <v>6.08</v>
      </c>
      <c r="C180" s="280">
        <v>45592</v>
      </c>
      <c r="D180" s="279">
        <v>45593</v>
      </c>
      <c r="E180" s="279">
        <v>45594</v>
      </c>
      <c r="F180" s="132"/>
      <c r="G180" s="132" t="s">
        <v>1108</v>
      </c>
      <c r="H180" s="132" t="s">
        <v>373</v>
      </c>
      <c r="I180" s="132" t="s">
        <v>1100</v>
      </c>
      <c r="J180" s="132" t="s">
        <v>1101</v>
      </c>
      <c r="K180" s="132" t="s">
        <v>1102</v>
      </c>
      <c r="L180" s="132" t="s">
        <v>1103</v>
      </c>
      <c r="M180" s="132" t="s">
        <v>1548</v>
      </c>
      <c r="N180" s="132" t="s">
        <v>1117</v>
      </c>
      <c r="O180" s="132" t="s">
        <v>1549</v>
      </c>
      <c r="P180" s="132" t="s">
        <v>1497</v>
      </c>
      <c r="Q180" s="132" t="s">
        <v>1108</v>
      </c>
    </row>
    <row r="181" spans="1:17" x14ac:dyDescent="0.2">
      <c r="A181" t="s">
        <v>213</v>
      </c>
      <c r="B181" s="141">
        <f t="shared" si="2"/>
        <v>7.99</v>
      </c>
      <c r="C181" s="280">
        <v>45592</v>
      </c>
      <c r="D181" s="279">
        <v>45593</v>
      </c>
      <c r="E181" s="279">
        <v>45594</v>
      </c>
      <c r="F181" s="132"/>
      <c r="G181" s="132" t="s">
        <v>1108</v>
      </c>
      <c r="H181" s="132" t="s">
        <v>373</v>
      </c>
      <c r="I181" s="132" t="s">
        <v>1100</v>
      </c>
      <c r="J181" s="132" t="s">
        <v>1171</v>
      </c>
      <c r="K181" s="132" t="s">
        <v>1172</v>
      </c>
      <c r="L181" s="132" t="s">
        <v>1173</v>
      </c>
      <c r="M181" s="132" t="s">
        <v>1550</v>
      </c>
      <c r="N181" s="132" t="s">
        <v>1112</v>
      </c>
      <c r="O181" s="132" t="s">
        <v>1551</v>
      </c>
      <c r="P181" s="132" t="s">
        <v>1497</v>
      </c>
      <c r="Q181" s="132" t="s">
        <v>1108</v>
      </c>
    </row>
    <row r="182" spans="1:17" x14ac:dyDescent="0.2">
      <c r="A182" t="s">
        <v>213</v>
      </c>
      <c r="B182" s="141">
        <f t="shared" si="2"/>
        <v>8.0400000000000009</v>
      </c>
      <c r="C182" s="280">
        <v>45592</v>
      </c>
      <c r="D182" s="279">
        <v>45594</v>
      </c>
      <c r="E182" s="279">
        <v>45594</v>
      </c>
      <c r="F182" s="132"/>
      <c r="G182" s="132" t="s">
        <v>1552</v>
      </c>
      <c r="H182" s="132" t="s">
        <v>373</v>
      </c>
      <c r="I182" s="132" t="s">
        <v>1100</v>
      </c>
      <c r="J182" s="132" t="s">
        <v>1171</v>
      </c>
      <c r="K182" s="132" t="s">
        <v>1225</v>
      </c>
      <c r="L182" s="132" t="s">
        <v>1226</v>
      </c>
      <c r="M182" s="132" t="s">
        <v>1553</v>
      </c>
      <c r="N182" s="132" t="s">
        <v>1105</v>
      </c>
      <c r="O182" s="132" t="s">
        <v>1554</v>
      </c>
      <c r="P182" s="132" t="s">
        <v>1497</v>
      </c>
      <c r="Q182" s="132" t="s">
        <v>1108</v>
      </c>
    </row>
    <row r="183" spans="1:17" x14ac:dyDescent="0.2">
      <c r="A183" t="s">
        <v>212</v>
      </c>
      <c r="B183" s="141">
        <f t="shared" si="2"/>
        <v>6.08</v>
      </c>
      <c r="C183" s="280">
        <v>45592</v>
      </c>
      <c r="D183" s="279">
        <v>45593</v>
      </c>
      <c r="E183" s="279">
        <v>45594</v>
      </c>
      <c r="F183" s="132"/>
      <c r="G183" s="132" t="s">
        <v>1556</v>
      </c>
      <c r="H183" s="132" t="s">
        <v>373</v>
      </c>
      <c r="I183" s="132" t="s">
        <v>1100</v>
      </c>
      <c r="J183" s="132" t="s">
        <v>1101</v>
      </c>
      <c r="K183" s="132" t="s">
        <v>1102</v>
      </c>
      <c r="L183" s="132" t="s">
        <v>1103</v>
      </c>
      <c r="M183" s="132" t="s">
        <v>1557</v>
      </c>
      <c r="N183" s="132" t="s">
        <v>1105</v>
      </c>
      <c r="O183" s="132" t="s">
        <v>1558</v>
      </c>
      <c r="P183" s="132" t="s">
        <v>1497</v>
      </c>
      <c r="Q183" s="132" t="s">
        <v>1108</v>
      </c>
    </row>
    <row r="184" spans="1:17" x14ac:dyDescent="0.2">
      <c r="A184" t="s">
        <v>212</v>
      </c>
      <c r="B184" s="141">
        <f t="shared" si="2"/>
        <v>6.04</v>
      </c>
      <c r="C184" s="280">
        <v>45592</v>
      </c>
      <c r="D184" s="279">
        <v>45593</v>
      </c>
      <c r="E184" s="279">
        <v>45594</v>
      </c>
      <c r="F184" s="132"/>
      <c r="G184" s="132" t="s">
        <v>1108</v>
      </c>
      <c r="H184" s="132" t="s">
        <v>373</v>
      </c>
      <c r="I184" s="132" t="s">
        <v>1100</v>
      </c>
      <c r="J184" s="132" t="s">
        <v>1101</v>
      </c>
      <c r="K184" s="132" t="s">
        <v>1109</v>
      </c>
      <c r="L184" s="132" t="s">
        <v>1110</v>
      </c>
      <c r="M184" s="132" t="s">
        <v>1559</v>
      </c>
      <c r="N184" s="132" t="s">
        <v>1112</v>
      </c>
      <c r="O184" s="132" t="s">
        <v>1560</v>
      </c>
      <c r="P184" s="132" t="s">
        <v>1497</v>
      </c>
      <c r="Q184" s="132" t="s">
        <v>1108</v>
      </c>
    </row>
    <row r="185" spans="1:17" x14ac:dyDescent="0.2">
      <c r="A185" t="s">
        <v>212</v>
      </c>
      <c r="B185" s="141">
        <f t="shared" si="2"/>
        <v>14.41</v>
      </c>
      <c r="C185" s="280">
        <v>45592</v>
      </c>
      <c r="D185" s="279">
        <v>45594</v>
      </c>
      <c r="E185" s="279">
        <v>45594</v>
      </c>
      <c r="F185" s="132"/>
      <c r="G185" s="132" t="s">
        <v>1108</v>
      </c>
      <c r="H185" s="132" t="s">
        <v>373</v>
      </c>
      <c r="I185" s="132" t="s">
        <v>1100</v>
      </c>
      <c r="J185" s="132" t="s">
        <v>1188</v>
      </c>
      <c r="K185" s="132" t="s">
        <v>1313</v>
      </c>
      <c r="L185" s="132" t="s">
        <v>1314</v>
      </c>
      <c r="M185" s="132" t="s">
        <v>1562</v>
      </c>
      <c r="N185" s="132" t="s">
        <v>1117</v>
      </c>
      <c r="O185" s="281" t="s">
        <v>1563</v>
      </c>
      <c r="P185" s="132" t="s">
        <v>1497</v>
      </c>
      <c r="Q185" s="132" t="s">
        <v>1108</v>
      </c>
    </row>
    <row r="186" spans="1:17" x14ac:dyDescent="0.2">
      <c r="A186" t="s">
        <v>213</v>
      </c>
      <c r="B186" s="141">
        <f t="shared" si="2"/>
        <v>7.99</v>
      </c>
      <c r="C186" s="280">
        <v>45592</v>
      </c>
      <c r="D186" s="279">
        <v>45593</v>
      </c>
      <c r="E186" s="279">
        <v>45594</v>
      </c>
      <c r="F186" s="132"/>
      <c r="G186" s="132" t="s">
        <v>1108</v>
      </c>
      <c r="H186" s="132" t="s">
        <v>373</v>
      </c>
      <c r="I186" s="132" t="s">
        <v>1100</v>
      </c>
      <c r="J186" s="132" t="s">
        <v>1171</v>
      </c>
      <c r="K186" s="132" t="s">
        <v>1172</v>
      </c>
      <c r="L186" s="132" t="s">
        <v>1173</v>
      </c>
      <c r="M186" s="281" t="s">
        <v>1564</v>
      </c>
      <c r="N186" s="132" t="s">
        <v>1112</v>
      </c>
      <c r="O186" s="132" t="s">
        <v>1565</v>
      </c>
      <c r="P186" s="132" t="s">
        <v>1497</v>
      </c>
      <c r="Q186" s="132" t="s">
        <v>1108</v>
      </c>
    </row>
    <row r="187" spans="1:17" x14ac:dyDescent="0.2">
      <c r="A187" t="s">
        <v>213</v>
      </c>
      <c r="B187" s="141">
        <f t="shared" si="2"/>
        <v>8.0400000000000009</v>
      </c>
      <c r="C187" s="280">
        <v>45592</v>
      </c>
      <c r="D187" s="279">
        <v>45594</v>
      </c>
      <c r="E187" s="279">
        <v>45594</v>
      </c>
      <c r="F187" s="132"/>
      <c r="G187" s="132" t="s">
        <v>1566</v>
      </c>
      <c r="H187" s="132" t="s">
        <v>373</v>
      </c>
      <c r="I187" s="132" t="s">
        <v>1100</v>
      </c>
      <c r="J187" s="132" t="s">
        <v>1171</v>
      </c>
      <c r="K187" s="132" t="s">
        <v>1225</v>
      </c>
      <c r="L187" s="132" t="s">
        <v>1226</v>
      </c>
      <c r="M187" s="132" t="s">
        <v>1567</v>
      </c>
      <c r="N187" s="132" t="s">
        <v>1105</v>
      </c>
      <c r="O187" s="132" t="s">
        <v>1568</v>
      </c>
      <c r="P187" s="132" t="s">
        <v>1497</v>
      </c>
      <c r="Q187" s="132" t="s">
        <v>1108</v>
      </c>
    </row>
    <row r="188" spans="1:17" x14ac:dyDescent="0.2">
      <c r="A188" t="s">
        <v>213</v>
      </c>
      <c r="B188" s="141">
        <f t="shared" si="2"/>
        <v>7.99</v>
      </c>
      <c r="C188" s="280">
        <v>45592</v>
      </c>
      <c r="D188" s="279">
        <v>45593</v>
      </c>
      <c r="E188" s="279">
        <v>45594</v>
      </c>
      <c r="F188" s="132"/>
      <c r="G188" s="132" t="s">
        <v>1108</v>
      </c>
      <c r="H188" s="132" t="s">
        <v>373</v>
      </c>
      <c r="I188" s="132" t="s">
        <v>1100</v>
      </c>
      <c r="J188" s="132" t="s">
        <v>1171</v>
      </c>
      <c r="K188" s="132" t="s">
        <v>1172</v>
      </c>
      <c r="L188" s="132" t="s">
        <v>1173</v>
      </c>
      <c r="M188" s="132" t="s">
        <v>1569</v>
      </c>
      <c r="N188" s="132" t="s">
        <v>1112</v>
      </c>
      <c r="O188" s="132" t="s">
        <v>1570</v>
      </c>
      <c r="P188" s="132" t="s">
        <v>1497</v>
      </c>
      <c r="Q188" s="132" t="s">
        <v>1108</v>
      </c>
    </row>
    <row r="189" spans="1:17" x14ac:dyDescent="0.2">
      <c r="A189" t="s">
        <v>212</v>
      </c>
      <c r="B189" s="141">
        <f t="shared" si="2"/>
        <v>6.04</v>
      </c>
      <c r="C189" s="280">
        <v>45592</v>
      </c>
      <c r="D189" s="279">
        <v>45593</v>
      </c>
      <c r="E189" s="279">
        <v>45594</v>
      </c>
      <c r="F189" s="132"/>
      <c r="G189" s="132" t="s">
        <v>1108</v>
      </c>
      <c r="H189" s="132" t="s">
        <v>373</v>
      </c>
      <c r="I189" s="132" t="s">
        <v>1100</v>
      </c>
      <c r="J189" s="132" t="s">
        <v>1101</v>
      </c>
      <c r="K189" s="132" t="s">
        <v>1109</v>
      </c>
      <c r="L189" s="132" t="s">
        <v>1110</v>
      </c>
      <c r="M189" s="132" t="s">
        <v>1571</v>
      </c>
      <c r="N189" s="132" t="s">
        <v>1112</v>
      </c>
      <c r="O189" s="132" t="s">
        <v>1572</v>
      </c>
      <c r="P189" s="132" t="s">
        <v>1497</v>
      </c>
      <c r="Q189" s="132" t="s">
        <v>1108</v>
      </c>
    </row>
    <row r="190" spans="1:17" x14ac:dyDescent="0.2">
      <c r="A190" t="s">
        <v>212</v>
      </c>
      <c r="B190" s="141">
        <f t="shared" si="2"/>
        <v>6.04</v>
      </c>
      <c r="C190" s="280">
        <v>45592</v>
      </c>
      <c r="D190" s="279">
        <v>45593</v>
      </c>
      <c r="E190" s="279">
        <v>45594</v>
      </c>
      <c r="F190" s="132"/>
      <c r="G190" s="132" t="s">
        <v>1108</v>
      </c>
      <c r="H190" s="132" t="s">
        <v>373</v>
      </c>
      <c r="I190" s="132" t="s">
        <v>1100</v>
      </c>
      <c r="J190" s="132" t="s">
        <v>1101</v>
      </c>
      <c r="K190" s="132" t="s">
        <v>1109</v>
      </c>
      <c r="L190" s="132" t="s">
        <v>1110</v>
      </c>
      <c r="M190" s="132" t="s">
        <v>1573</v>
      </c>
      <c r="N190" s="132" t="s">
        <v>1112</v>
      </c>
      <c r="O190" s="132" t="s">
        <v>1574</v>
      </c>
      <c r="P190" s="132" t="s">
        <v>1497</v>
      </c>
      <c r="Q190" s="132" t="s">
        <v>1108</v>
      </c>
    </row>
    <row r="191" spans="1:17" x14ac:dyDescent="0.2">
      <c r="A191" t="s">
        <v>212</v>
      </c>
      <c r="B191" s="141">
        <f t="shared" si="2"/>
        <v>6.08</v>
      </c>
      <c r="C191" s="280">
        <v>45592</v>
      </c>
      <c r="D191" s="279">
        <v>45594</v>
      </c>
      <c r="E191" s="279">
        <v>45594</v>
      </c>
      <c r="F191" s="132"/>
      <c r="G191" s="132" t="s">
        <v>1108</v>
      </c>
      <c r="H191" s="132" t="s">
        <v>373</v>
      </c>
      <c r="I191" s="132" t="s">
        <v>1100</v>
      </c>
      <c r="J191" s="132" t="s">
        <v>1101</v>
      </c>
      <c r="K191" s="132" t="s">
        <v>1102</v>
      </c>
      <c r="L191" s="132" t="s">
        <v>1103</v>
      </c>
      <c r="M191" s="132" t="s">
        <v>1575</v>
      </c>
      <c r="N191" s="132" t="s">
        <v>1117</v>
      </c>
      <c r="O191" s="132" t="s">
        <v>1576</v>
      </c>
      <c r="P191" s="132" t="s">
        <v>1497</v>
      </c>
      <c r="Q191" s="132" t="s">
        <v>1108</v>
      </c>
    </row>
    <row r="192" spans="1:17" x14ac:dyDescent="0.2">
      <c r="A192" t="s">
        <v>213</v>
      </c>
      <c r="B192" s="141">
        <f t="shared" si="2"/>
        <v>7.99</v>
      </c>
      <c r="C192" s="280">
        <v>45592</v>
      </c>
      <c r="D192" s="279">
        <v>45593</v>
      </c>
      <c r="E192" s="279">
        <v>45594</v>
      </c>
      <c r="F192" s="132"/>
      <c r="G192" s="132" t="s">
        <v>1108</v>
      </c>
      <c r="H192" s="132" t="s">
        <v>373</v>
      </c>
      <c r="I192" s="132" t="s">
        <v>1100</v>
      </c>
      <c r="J192" s="132" t="s">
        <v>1171</v>
      </c>
      <c r="K192" s="132" t="s">
        <v>1172</v>
      </c>
      <c r="L192" s="132" t="s">
        <v>1173</v>
      </c>
      <c r="M192" s="132" t="s">
        <v>1577</v>
      </c>
      <c r="N192" s="132" t="s">
        <v>1112</v>
      </c>
      <c r="O192" s="132" t="s">
        <v>1578</v>
      </c>
      <c r="P192" s="132" t="s">
        <v>1497</v>
      </c>
      <c r="Q192" s="132" t="s">
        <v>1108</v>
      </c>
    </row>
    <row r="193" spans="1:17" x14ac:dyDescent="0.2">
      <c r="A193" t="s">
        <v>212</v>
      </c>
      <c r="B193" s="141">
        <f t="shared" si="2"/>
        <v>6.08</v>
      </c>
      <c r="C193" s="280">
        <v>45592</v>
      </c>
      <c r="D193" s="279">
        <v>45593</v>
      </c>
      <c r="E193" s="279">
        <v>45594</v>
      </c>
      <c r="F193" s="132"/>
      <c r="G193" s="132" t="s">
        <v>1108</v>
      </c>
      <c r="H193" s="132" t="s">
        <v>373</v>
      </c>
      <c r="I193" s="132" t="s">
        <v>1100</v>
      </c>
      <c r="J193" s="132" t="s">
        <v>1101</v>
      </c>
      <c r="K193" s="132" t="s">
        <v>1102</v>
      </c>
      <c r="L193" s="132" t="s">
        <v>1103</v>
      </c>
      <c r="M193" s="132" t="s">
        <v>1579</v>
      </c>
      <c r="N193" s="132" t="s">
        <v>1117</v>
      </c>
      <c r="O193" s="132" t="s">
        <v>1580</v>
      </c>
      <c r="P193" s="132" t="s">
        <v>1497</v>
      </c>
      <c r="Q193" s="132" t="s">
        <v>1108</v>
      </c>
    </row>
    <row r="194" spans="1:17" x14ac:dyDescent="0.2">
      <c r="A194" t="s">
        <v>212</v>
      </c>
      <c r="B194" s="141">
        <f t="shared" si="2"/>
        <v>6.04</v>
      </c>
      <c r="C194" s="280">
        <v>45592</v>
      </c>
      <c r="D194" s="279">
        <v>45593</v>
      </c>
      <c r="E194" s="279">
        <v>45594</v>
      </c>
      <c r="F194" s="132"/>
      <c r="G194" s="132" t="s">
        <v>1108</v>
      </c>
      <c r="H194" s="132" t="s">
        <v>373</v>
      </c>
      <c r="I194" s="132" t="s">
        <v>1100</v>
      </c>
      <c r="J194" s="132" t="s">
        <v>1101</v>
      </c>
      <c r="K194" s="132" t="s">
        <v>1109</v>
      </c>
      <c r="L194" s="132" t="s">
        <v>1110</v>
      </c>
      <c r="M194" s="132" t="s">
        <v>1581</v>
      </c>
      <c r="N194" s="132" t="s">
        <v>1112</v>
      </c>
      <c r="O194" s="132" t="s">
        <v>1582</v>
      </c>
      <c r="P194" s="132" t="s">
        <v>1497</v>
      </c>
      <c r="Q194" s="132" t="s">
        <v>1108</v>
      </c>
    </row>
    <row r="195" spans="1:17" x14ac:dyDescent="0.2">
      <c r="A195" t="s">
        <v>213</v>
      </c>
      <c r="B195" s="141">
        <f t="shared" ref="B195:B258" si="3">_xlfn.NUMBERVALUE(L195)*0.01</f>
        <v>7.99</v>
      </c>
      <c r="C195" s="280">
        <v>45592</v>
      </c>
      <c r="D195" s="279">
        <v>45593</v>
      </c>
      <c r="E195" s="279">
        <v>45594</v>
      </c>
      <c r="F195" s="132"/>
      <c r="G195" s="132" t="s">
        <v>1108</v>
      </c>
      <c r="H195" s="132" t="s">
        <v>373</v>
      </c>
      <c r="I195" s="132" t="s">
        <v>1100</v>
      </c>
      <c r="J195" s="132" t="s">
        <v>1171</v>
      </c>
      <c r="K195" s="132" t="s">
        <v>1172</v>
      </c>
      <c r="L195" s="132" t="s">
        <v>1173</v>
      </c>
      <c r="M195" s="132" t="s">
        <v>1583</v>
      </c>
      <c r="N195" s="132" t="s">
        <v>1112</v>
      </c>
      <c r="O195" s="132" t="s">
        <v>1584</v>
      </c>
      <c r="P195" s="132" t="s">
        <v>1497</v>
      </c>
      <c r="Q195" s="132" t="s">
        <v>1108</v>
      </c>
    </row>
    <row r="196" spans="1:17" x14ac:dyDescent="0.2">
      <c r="A196" t="s">
        <v>212</v>
      </c>
      <c r="B196" s="141">
        <f t="shared" si="3"/>
        <v>14.41</v>
      </c>
      <c r="C196" s="280">
        <v>45592</v>
      </c>
      <c r="D196" s="279">
        <v>45593</v>
      </c>
      <c r="E196" s="279">
        <v>45594</v>
      </c>
      <c r="F196" s="132"/>
      <c r="G196" s="132" t="s">
        <v>1585</v>
      </c>
      <c r="H196" s="132" t="s">
        <v>373</v>
      </c>
      <c r="I196" s="132" t="s">
        <v>1100</v>
      </c>
      <c r="J196" s="132" t="s">
        <v>1188</v>
      </c>
      <c r="K196" s="132" t="s">
        <v>1313</v>
      </c>
      <c r="L196" s="132" t="s">
        <v>1314</v>
      </c>
      <c r="M196" s="132" t="s">
        <v>1586</v>
      </c>
      <c r="N196" s="132" t="s">
        <v>1105</v>
      </c>
      <c r="O196" s="132" t="s">
        <v>1587</v>
      </c>
      <c r="P196" s="132" t="s">
        <v>1497</v>
      </c>
      <c r="Q196" s="132" t="s">
        <v>1108</v>
      </c>
    </row>
    <row r="197" spans="1:17" x14ac:dyDescent="0.2">
      <c r="A197" t="s">
        <v>212</v>
      </c>
      <c r="B197" s="141">
        <f t="shared" si="3"/>
        <v>6.08</v>
      </c>
      <c r="C197" s="280">
        <v>45592</v>
      </c>
      <c r="D197" s="279">
        <v>45593</v>
      </c>
      <c r="E197" s="279">
        <v>45594</v>
      </c>
      <c r="F197" s="132"/>
      <c r="G197" s="132" t="s">
        <v>1588</v>
      </c>
      <c r="H197" s="132" t="s">
        <v>373</v>
      </c>
      <c r="I197" s="132" t="s">
        <v>1100</v>
      </c>
      <c r="J197" s="132" t="s">
        <v>1101</v>
      </c>
      <c r="K197" s="132" t="s">
        <v>1102</v>
      </c>
      <c r="L197" s="132" t="s">
        <v>1103</v>
      </c>
      <c r="M197" s="132" t="s">
        <v>1589</v>
      </c>
      <c r="N197" s="132" t="s">
        <v>1105</v>
      </c>
      <c r="O197" s="132" t="s">
        <v>1590</v>
      </c>
      <c r="P197" s="132" t="s">
        <v>1497</v>
      </c>
      <c r="Q197" s="132" t="s">
        <v>1108</v>
      </c>
    </row>
    <row r="198" spans="1:17" x14ac:dyDescent="0.2">
      <c r="A198" t="s">
        <v>213</v>
      </c>
      <c r="B198" s="141">
        <f t="shared" si="3"/>
        <v>8.0400000000000009</v>
      </c>
      <c r="C198" s="280">
        <v>45593</v>
      </c>
      <c r="D198" s="279">
        <v>45594</v>
      </c>
      <c r="E198" s="279">
        <v>45594</v>
      </c>
      <c r="F198" s="132"/>
      <c r="G198" s="132" t="s">
        <v>1108</v>
      </c>
      <c r="H198" s="132" t="s">
        <v>373</v>
      </c>
      <c r="I198" s="132" t="s">
        <v>1100</v>
      </c>
      <c r="J198" s="132" t="s">
        <v>1171</v>
      </c>
      <c r="K198" s="132" t="s">
        <v>1225</v>
      </c>
      <c r="L198" s="132" t="s">
        <v>1226</v>
      </c>
      <c r="M198" s="132" t="s">
        <v>1591</v>
      </c>
      <c r="N198" s="132" t="s">
        <v>1117</v>
      </c>
      <c r="O198" s="132" t="s">
        <v>1592</v>
      </c>
      <c r="P198" s="132" t="s">
        <v>1497</v>
      </c>
      <c r="Q198" s="132" t="s">
        <v>1108</v>
      </c>
    </row>
    <row r="199" spans="1:17" x14ac:dyDescent="0.2">
      <c r="A199" t="s">
        <v>212</v>
      </c>
      <c r="B199" s="141">
        <f t="shared" si="3"/>
        <v>6.04</v>
      </c>
      <c r="C199" s="280">
        <v>45593</v>
      </c>
      <c r="D199" s="279">
        <v>45593</v>
      </c>
      <c r="E199" s="279">
        <v>45594</v>
      </c>
      <c r="F199" s="132"/>
      <c r="G199" s="132" t="s">
        <v>1108</v>
      </c>
      <c r="H199" s="132" t="s">
        <v>373</v>
      </c>
      <c r="I199" s="132" t="s">
        <v>1100</v>
      </c>
      <c r="J199" s="132" t="s">
        <v>1101</v>
      </c>
      <c r="K199" s="132" t="s">
        <v>1109</v>
      </c>
      <c r="L199" s="132" t="s">
        <v>1110</v>
      </c>
      <c r="M199" s="132" t="s">
        <v>1593</v>
      </c>
      <c r="N199" s="132" t="s">
        <v>1112</v>
      </c>
      <c r="O199" s="132" t="s">
        <v>1594</v>
      </c>
      <c r="P199" s="132" t="s">
        <v>1497</v>
      </c>
      <c r="Q199" s="132" t="s">
        <v>1108</v>
      </c>
    </row>
    <row r="200" spans="1:17" x14ac:dyDescent="0.2">
      <c r="A200" t="s">
        <v>212</v>
      </c>
      <c r="B200" s="141">
        <f t="shared" si="3"/>
        <v>6.08</v>
      </c>
      <c r="C200" s="280">
        <v>45593</v>
      </c>
      <c r="D200" s="279">
        <v>45594</v>
      </c>
      <c r="E200" s="279">
        <v>45594</v>
      </c>
      <c r="F200" s="132"/>
      <c r="G200" s="132" t="s">
        <v>1595</v>
      </c>
      <c r="H200" s="132" t="s">
        <v>373</v>
      </c>
      <c r="I200" s="132" t="s">
        <v>1100</v>
      </c>
      <c r="J200" s="132" t="s">
        <v>1101</v>
      </c>
      <c r="K200" s="132" t="s">
        <v>1102</v>
      </c>
      <c r="L200" s="132" t="s">
        <v>1103</v>
      </c>
      <c r="M200" s="132" t="s">
        <v>1596</v>
      </c>
      <c r="N200" s="132" t="s">
        <v>1105</v>
      </c>
      <c r="O200" s="132" t="s">
        <v>1597</v>
      </c>
      <c r="P200" s="132" t="s">
        <v>1497</v>
      </c>
      <c r="Q200" s="132" t="s">
        <v>1108</v>
      </c>
    </row>
    <row r="201" spans="1:17" x14ac:dyDescent="0.2">
      <c r="A201" t="s">
        <v>212</v>
      </c>
      <c r="B201" s="141">
        <f t="shared" si="3"/>
        <v>6.04</v>
      </c>
      <c r="C201" s="280">
        <v>45593</v>
      </c>
      <c r="D201" s="279">
        <v>45593</v>
      </c>
      <c r="E201" s="279">
        <v>45594</v>
      </c>
      <c r="F201" s="132"/>
      <c r="G201" s="132" t="s">
        <v>1108</v>
      </c>
      <c r="H201" s="132" t="s">
        <v>373</v>
      </c>
      <c r="I201" s="132" t="s">
        <v>1100</v>
      </c>
      <c r="J201" s="132" t="s">
        <v>1101</v>
      </c>
      <c r="K201" s="132" t="s">
        <v>1109</v>
      </c>
      <c r="L201" s="132" t="s">
        <v>1110</v>
      </c>
      <c r="M201" s="132" t="s">
        <v>1598</v>
      </c>
      <c r="N201" s="132" t="s">
        <v>1112</v>
      </c>
      <c r="O201" s="132" t="s">
        <v>1599</v>
      </c>
      <c r="P201" s="132" t="s">
        <v>1497</v>
      </c>
      <c r="Q201" s="132" t="s">
        <v>1108</v>
      </c>
    </row>
    <row r="202" spans="1:17" x14ac:dyDescent="0.2">
      <c r="A202" t="s">
        <v>212</v>
      </c>
      <c r="B202" s="141">
        <f t="shared" si="3"/>
        <v>6.08</v>
      </c>
      <c r="C202" s="280">
        <v>45593</v>
      </c>
      <c r="D202" s="279">
        <v>45594</v>
      </c>
      <c r="E202" s="279">
        <v>45594</v>
      </c>
      <c r="F202" s="132"/>
      <c r="G202" s="132" t="s">
        <v>1108</v>
      </c>
      <c r="H202" s="132" t="s">
        <v>373</v>
      </c>
      <c r="I202" s="132" t="s">
        <v>1100</v>
      </c>
      <c r="J202" s="132" t="s">
        <v>1101</v>
      </c>
      <c r="K202" s="132" t="s">
        <v>1102</v>
      </c>
      <c r="L202" s="132" t="s">
        <v>1103</v>
      </c>
      <c r="M202" s="132" t="s">
        <v>1600</v>
      </c>
      <c r="N202" s="132" t="s">
        <v>1117</v>
      </c>
      <c r="O202" s="132" t="s">
        <v>1601</v>
      </c>
      <c r="P202" s="132" t="s">
        <v>1497</v>
      </c>
      <c r="Q202" s="132" t="s">
        <v>1108</v>
      </c>
    </row>
    <row r="203" spans="1:17" x14ac:dyDescent="0.2">
      <c r="A203" t="s">
        <v>213</v>
      </c>
      <c r="B203" s="141">
        <f t="shared" si="3"/>
        <v>8.0400000000000009</v>
      </c>
      <c r="C203" s="280">
        <v>45593</v>
      </c>
      <c r="D203" s="279">
        <v>45594</v>
      </c>
      <c r="E203" s="279">
        <v>45594</v>
      </c>
      <c r="F203" s="132"/>
      <c r="G203" s="132" t="s">
        <v>1108</v>
      </c>
      <c r="H203" s="132" t="s">
        <v>373</v>
      </c>
      <c r="I203" s="132" t="s">
        <v>1100</v>
      </c>
      <c r="J203" s="132" t="s">
        <v>1171</v>
      </c>
      <c r="K203" s="132" t="s">
        <v>1225</v>
      </c>
      <c r="L203" s="132" t="s">
        <v>1226</v>
      </c>
      <c r="M203" s="132" t="s">
        <v>1603</v>
      </c>
      <c r="N203" s="132" t="s">
        <v>1117</v>
      </c>
      <c r="O203" s="132" t="s">
        <v>1604</v>
      </c>
      <c r="P203" s="132" t="s">
        <v>1497</v>
      </c>
      <c r="Q203" s="132" t="s">
        <v>1108</v>
      </c>
    </row>
    <row r="204" spans="1:17" x14ac:dyDescent="0.2">
      <c r="A204" t="s">
        <v>212</v>
      </c>
      <c r="B204" s="141">
        <f t="shared" si="3"/>
        <v>6.04</v>
      </c>
      <c r="C204" s="280">
        <v>45593</v>
      </c>
      <c r="D204" s="279">
        <v>45593</v>
      </c>
      <c r="E204" s="279">
        <v>45594</v>
      </c>
      <c r="F204" s="132"/>
      <c r="G204" s="132" t="s">
        <v>1108</v>
      </c>
      <c r="H204" s="132" t="s">
        <v>373</v>
      </c>
      <c r="I204" s="132" t="s">
        <v>1100</v>
      </c>
      <c r="J204" s="132" t="s">
        <v>1101</v>
      </c>
      <c r="K204" s="132" t="s">
        <v>1109</v>
      </c>
      <c r="L204" s="132" t="s">
        <v>1110</v>
      </c>
      <c r="M204" s="132" t="s">
        <v>1605</v>
      </c>
      <c r="N204" s="132" t="s">
        <v>1112</v>
      </c>
      <c r="O204" s="132" t="s">
        <v>1606</v>
      </c>
      <c r="P204" s="132" t="s">
        <v>1497</v>
      </c>
      <c r="Q204" s="132" t="s">
        <v>1108</v>
      </c>
    </row>
    <row r="205" spans="1:17" x14ac:dyDescent="0.2">
      <c r="A205" t="s">
        <v>212</v>
      </c>
      <c r="B205" s="141">
        <f t="shared" si="3"/>
        <v>6.04</v>
      </c>
      <c r="C205" s="280">
        <v>45593</v>
      </c>
      <c r="D205" s="279">
        <v>45593</v>
      </c>
      <c r="E205" s="279">
        <v>45594</v>
      </c>
      <c r="F205" s="132"/>
      <c r="G205" s="132" t="s">
        <v>1108</v>
      </c>
      <c r="H205" s="132" t="s">
        <v>373</v>
      </c>
      <c r="I205" s="132" t="s">
        <v>1100</v>
      </c>
      <c r="J205" s="132" t="s">
        <v>1101</v>
      </c>
      <c r="K205" s="132" t="s">
        <v>1109</v>
      </c>
      <c r="L205" s="132" t="s">
        <v>1110</v>
      </c>
      <c r="M205" s="132" t="s">
        <v>1607</v>
      </c>
      <c r="N205" s="132" t="s">
        <v>1112</v>
      </c>
      <c r="O205" s="132" t="s">
        <v>1608</v>
      </c>
      <c r="P205" s="132" t="s">
        <v>1497</v>
      </c>
      <c r="Q205" s="132" t="s">
        <v>1108</v>
      </c>
    </row>
    <row r="206" spans="1:17" x14ac:dyDescent="0.2">
      <c r="A206" t="s">
        <v>213</v>
      </c>
      <c r="B206" s="141">
        <f t="shared" si="3"/>
        <v>7.99</v>
      </c>
      <c r="C206" s="280">
        <v>45593</v>
      </c>
      <c r="D206" s="279">
        <v>45593</v>
      </c>
      <c r="E206" s="279">
        <v>45594</v>
      </c>
      <c r="F206" s="132"/>
      <c r="G206" s="132" t="s">
        <v>1108</v>
      </c>
      <c r="H206" s="132" t="s">
        <v>373</v>
      </c>
      <c r="I206" s="132" t="s">
        <v>1100</v>
      </c>
      <c r="J206" s="132" t="s">
        <v>1171</v>
      </c>
      <c r="K206" s="132" t="s">
        <v>1172</v>
      </c>
      <c r="L206" s="132" t="s">
        <v>1173</v>
      </c>
      <c r="M206" s="132" t="s">
        <v>1609</v>
      </c>
      <c r="N206" s="132" t="s">
        <v>1112</v>
      </c>
      <c r="O206" s="132" t="s">
        <v>1610</v>
      </c>
      <c r="P206" s="132" t="s">
        <v>1497</v>
      </c>
      <c r="Q206" s="132" t="s">
        <v>1108</v>
      </c>
    </row>
    <row r="207" spans="1:17" x14ac:dyDescent="0.2">
      <c r="A207" t="s">
        <v>213</v>
      </c>
      <c r="B207" s="141">
        <f t="shared" si="3"/>
        <v>8.0400000000000009</v>
      </c>
      <c r="C207" s="280">
        <v>45593</v>
      </c>
      <c r="D207" s="279">
        <v>45594</v>
      </c>
      <c r="E207" s="279">
        <v>45594</v>
      </c>
      <c r="F207" s="132"/>
      <c r="G207" s="132" t="s">
        <v>1108</v>
      </c>
      <c r="H207" s="132" t="s">
        <v>373</v>
      </c>
      <c r="I207" s="132" t="s">
        <v>1100</v>
      </c>
      <c r="J207" s="132" t="s">
        <v>1171</v>
      </c>
      <c r="K207" s="132" t="s">
        <v>1225</v>
      </c>
      <c r="L207" s="132" t="s">
        <v>1226</v>
      </c>
      <c r="M207" s="132" t="s">
        <v>1611</v>
      </c>
      <c r="N207" s="132" t="s">
        <v>1117</v>
      </c>
      <c r="O207" s="132" t="s">
        <v>1612</v>
      </c>
      <c r="P207" s="132" t="s">
        <v>1497</v>
      </c>
      <c r="Q207" s="132" t="s">
        <v>1108</v>
      </c>
    </row>
    <row r="208" spans="1:17" x14ac:dyDescent="0.2">
      <c r="A208" t="s">
        <v>213</v>
      </c>
      <c r="B208" s="141">
        <f t="shared" si="3"/>
        <v>7.99</v>
      </c>
      <c r="C208" s="280">
        <v>45593</v>
      </c>
      <c r="D208" s="279">
        <v>45593</v>
      </c>
      <c r="E208" s="279">
        <v>45594</v>
      </c>
      <c r="F208" s="132"/>
      <c r="G208" s="132" t="s">
        <v>1108</v>
      </c>
      <c r="H208" s="132" t="s">
        <v>373</v>
      </c>
      <c r="I208" s="132" t="s">
        <v>1100</v>
      </c>
      <c r="J208" s="132" t="s">
        <v>1171</v>
      </c>
      <c r="K208" s="132" t="s">
        <v>1172</v>
      </c>
      <c r="L208" s="132" t="s">
        <v>1173</v>
      </c>
      <c r="M208" s="132" t="s">
        <v>1613</v>
      </c>
      <c r="N208" s="132" t="s">
        <v>1112</v>
      </c>
      <c r="O208" s="132" t="s">
        <v>1614</v>
      </c>
      <c r="P208" s="132" t="s">
        <v>1497</v>
      </c>
      <c r="Q208" s="132" t="s">
        <v>1108</v>
      </c>
    </row>
    <row r="209" spans="1:17" x14ac:dyDescent="0.2">
      <c r="A209" t="s">
        <v>212</v>
      </c>
      <c r="B209" s="141">
        <f t="shared" si="3"/>
        <v>6.04</v>
      </c>
      <c r="C209" s="280">
        <v>45593</v>
      </c>
      <c r="D209" s="279">
        <v>45593</v>
      </c>
      <c r="E209" s="279">
        <v>45594</v>
      </c>
      <c r="F209" s="132"/>
      <c r="G209" s="132" t="s">
        <v>1108</v>
      </c>
      <c r="H209" s="132" t="s">
        <v>373</v>
      </c>
      <c r="I209" s="132" t="s">
        <v>1100</v>
      </c>
      <c r="J209" s="132" t="s">
        <v>1101</v>
      </c>
      <c r="K209" s="132" t="s">
        <v>1109</v>
      </c>
      <c r="L209" s="132" t="s">
        <v>1110</v>
      </c>
      <c r="M209" s="132" t="s">
        <v>1615</v>
      </c>
      <c r="N209" s="132" t="s">
        <v>1112</v>
      </c>
      <c r="O209" s="132" t="s">
        <v>1616</v>
      </c>
      <c r="P209" s="132" t="s">
        <v>1497</v>
      </c>
      <c r="Q209" s="132" t="s">
        <v>1108</v>
      </c>
    </row>
    <row r="210" spans="1:17" x14ac:dyDescent="0.2">
      <c r="A210" t="s">
        <v>213</v>
      </c>
      <c r="B210" s="141">
        <f t="shared" si="3"/>
        <v>8.0400000000000009</v>
      </c>
      <c r="C210" s="280">
        <v>45593</v>
      </c>
      <c r="D210" s="279">
        <v>45594</v>
      </c>
      <c r="E210" s="279">
        <v>45594</v>
      </c>
      <c r="F210" s="132"/>
      <c r="G210" s="132" t="s">
        <v>1108</v>
      </c>
      <c r="H210" s="132" t="s">
        <v>373</v>
      </c>
      <c r="I210" s="132" t="s">
        <v>1100</v>
      </c>
      <c r="J210" s="132" t="s">
        <v>1171</v>
      </c>
      <c r="K210" s="132" t="s">
        <v>1225</v>
      </c>
      <c r="L210" s="132" t="s">
        <v>1226</v>
      </c>
      <c r="M210" s="132" t="s">
        <v>1617</v>
      </c>
      <c r="N210" s="132" t="s">
        <v>1117</v>
      </c>
      <c r="O210" s="132" t="s">
        <v>1618</v>
      </c>
      <c r="P210" s="132" t="s">
        <v>1497</v>
      </c>
      <c r="Q210" s="132" t="s">
        <v>1108</v>
      </c>
    </row>
    <row r="211" spans="1:17" x14ac:dyDescent="0.2">
      <c r="A211" t="s">
        <v>212</v>
      </c>
      <c r="B211" s="141">
        <f t="shared" si="3"/>
        <v>6.08</v>
      </c>
      <c r="C211" s="280">
        <v>45593</v>
      </c>
      <c r="D211" s="279">
        <v>45594</v>
      </c>
      <c r="E211" s="279">
        <v>45594</v>
      </c>
      <c r="F211" s="132"/>
      <c r="G211" s="132" t="s">
        <v>1108</v>
      </c>
      <c r="H211" s="132" t="s">
        <v>373</v>
      </c>
      <c r="I211" s="132" t="s">
        <v>1100</v>
      </c>
      <c r="J211" s="132" t="s">
        <v>1101</v>
      </c>
      <c r="K211" s="132" t="s">
        <v>1102</v>
      </c>
      <c r="L211" s="132" t="s">
        <v>1103</v>
      </c>
      <c r="M211" s="132" t="s">
        <v>1619</v>
      </c>
      <c r="N211" s="132" t="s">
        <v>1117</v>
      </c>
      <c r="O211" s="132" t="s">
        <v>1620</v>
      </c>
      <c r="P211" s="132" t="s">
        <v>1497</v>
      </c>
      <c r="Q211" s="132" t="s">
        <v>1108</v>
      </c>
    </row>
    <row r="212" spans="1:17" x14ac:dyDescent="0.2">
      <c r="A212" s="96" t="s">
        <v>213</v>
      </c>
      <c r="B212" s="141">
        <f t="shared" si="3"/>
        <v>16.27</v>
      </c>
      <c r="C212" s="280">
        <v>45593</v>
      </c>
      <c r="D212" s="279">
        <v>45594</v>
      </c>
      <c r="E212" s="279">
        <v>45595</v>
      </c>
      <c r="F212" s="132"/>
      <c r="G212" s="132" t="s">
        <v>1108</v>
      </c>
      <c r="H212" s="132" t="s">
        <v>373</v>
      </c>
      <c r="I212" s="132" t="s">
        <v>1100</v>
      </c>
      <c r="J212" s="132" t="s">
        <v>1199</v>
      </c>
      <c r="K212" s="132" t="s">
        <v>1519</v>
      </c>
      <c r="L212" s="132" t="s">
        <v>1520</v>
      </c>
      <c r="M212" s="132" t="s">
        <v>1621</v>
      </c>
      <c r="N212" s="132" t="s">
        <v>1112</v>
      </c>
      <c r="O212" s="132" t="s">
        <v>1622</v>
      </c>
      <c r="P212" s="132" t="s">
        <v>1623</v>
      </c>
      <c r="Q212" s="132" t="s">
        <v>1108</v>
      </c>
    </row>
    <row r="213" spans="1:17" x14ac:dyDescent="0.2">
      <c r="A213" s="96" t="s">
        <v>213</v>
      </c>
      <c r="B213" s="141">
        <f t="shared" si="3"/>
        <v>7.99</v>
      </c>
      <c r="C213" s="280">
        <v>45593</v>
      </c>
      <c r="D213" s="279">
        <v>45594</v>
      </c>
      <c r="E213" s="279">
        <v>45595</v>
      </c>
      <c r="F213" s="132"/>
      <c r="G213" s="132" t="s">
        <v>1108</v>
      </c>
      <c r="H213" s="132" t="s">
        <v>373</v>
      </c>
      <c r="I213" s="132" t="s">
        <v>1100</v>
      </c>
      <c r="J213" s="132" t="s">
        <v>1171</v>
      </c>
      <c r="K213" s="132" t="s">
        <v>1172</v>
      </c>
      <c r="L213" s="132" t="s">
        <v>1173</v>
      </c>
      <c r="M213" s="132" t="s">
        <v>1624</v>
      </c>
      <c r="N213" s="132" t="s">
        <v>1112</v>
      </c>
      <c r="O213" s="132" t="s">
        <v>1625</v>
      </c>
      <c r="P213" s="132" t="s">
        <v>1623</v>
      </c>
      <c r="Q213" s="132" t="s">
        <v>1108</v>
      </c>
    </row>
    <row r="214" spans="1:17" x14ac:dyDescent="0.2">
      <c r="A214" s="96" t="s">
        <v>213</v>
      </c>
      <c r="B214" s="141">
        <f t="shared" si="3"/>
        <v>7.99</v>
      </c>
      <c r="C214" s="280">
        <v>45593</v>
      </c>
      <c r="D214" s="279">
        <v>45594</v>
      </c>
      <c r="E214" s="279">
        <v>45595</v>
      </c>
      <c r="F214" s="132"/>
      <c r="G214" s="132" t="s">
        <v>1108</v>
      </c>
      <c r="H214" s="132" t="s">
        <v>373</v>
      </c>
      <c r="I214" s="132" t="s">
        <v>1100</v>
      </c>
      <c r="J214" s="132" t="s">
        <v>1171</v>
      </c>
      <c r="K214" s="132" t="s">
        <v>1172</v>
      </c>
      <c r="L214" s="132" t="s">
        <v>1173</v>
      </c>
      <c r="M214" s="132" t="s">
        <v>1626</v>
      </c>
      <c r="N214" s="132" t="s">
        <v>1112</v>
      </c>
      <c r="O214" s="132" t="s">
        <v>1627</v>
      </c>
      <c r="P214" s="132" t="s">
        <v>1623</v>
      </c>
      <c r="Q214" s="132" t="s">
        <v>1108</v>
      </c>
    </row>
    <row r="215" spans="1:17" x14ac:dyDescent="0.2">
      <c r="A215" s="96" t="s">
        <v>213</v>
      </c>
      <c r="B215" s="141">
        <f t="shared" si="3"/>
        <v>8.0400000000000009</v>
      </c>
      <c r="C215" s="280">
        <v>45593</v>
      </c>
      <c r="D215" s="279">
        <v>45594</v>
      </c>
      <c r="E215" s="279">
        <v>45595</v>
      </c>
      <c r="F215" s="132"/>
      <c r="G215" s="132" t="s">
        <v>1108</v>
      </c>
      <c r="H215" s="132" t="s">
        <v>373</v>
      </c>
      <c r="I215" s="132" t="s">
        <v>1100</v>
      </c>
      <c r="J215" s="132" t="s">
        <v>1171</v>
      </c>
      <c r="K215" s="132" t="s">
        <v>1225</v>
      </c>
      <c r="L215" s="132" t="s">
        <v>1226</v>
      </c>
      <c r="M215" s="132" t="s">
        <v>1628</v>
      </c>
      <c r="N215" s="132" t="s">
        <v>1117</v>
      </c>
      <c r="O215" s="132" t="s">
        <v>1629</v>
      </c>
      <c r="P215" s="132" t="s">
        <v>1623</v>
      </c>
      <c r="Q215" s="132" t="s">
        <v>1108</v>
      </c>
    </row>
    <row r="216" spans="1:17" x14ac:dyDescent="0.2">
      <c r="A216" s="96" t="s">
        <v>213</v>
      </c>
      <c r="B216" s="141">
        <f t="shared" si="3"/>
        <v>8.0400000000000009</v>
      </c>
      <c r="C216" s="280">
        <v>45593</v>
      </c>
      <c r="D216" s="279">
        <v>45594</v>
      </c>
      <c r="E216" s="279">
        <v>45595</v>
      </c>
      <c r="F216" s="132"/>
      <c r="G216" s="132" t="s">
        <v>1108</v>
      </c>
      <c r="H216" s="132" t="s">
        <v>373</v>
      </c>
      <c r="I216" s="132" t="s">
        <v>1100</v>
      </c>
      <c r="J216" s="132" t="s">
        <v>1171</v>
      </c>
      <c r="K216" s="132" t="s">
        <v>1225</v>
      </c>
      <c r="L216" s="132" t="s">
        <v>1226</v>
      </c>
      <c r="M216" s="132" t="s">
        <v>1630</v>
      </c>
      <c r="N216" s="132" t="s">
        <v>1117</v>
      </c>
      <c r="O216" s="132" t="s">
        <v>1631</v>
      </c>
      <c r="P216" s="132" t="s">
        <v>1623</v>
      </c>
      <c r="Q216" s="132" t="s">
        <v>1108</v>
      </c>
    </row>
    <row r="217" spans="1:17" x14ac:dyDescent="0.2">
      <c r="A217" s="96" t="s">
        <v>212</v>
      </c>
      <c r="B217" s="141">
        <f t="shared" si="3"/>
        <v>6.08</v>
      </c>
      <c r="C217" s="280">
        <v>45593</v>
      </c>
      <c r="D217" s="279">
        <v>45594</v>
      </c>
      <c r="E217" s="279">
        <v>45595</v>
      </c>
      <c r="F217" s="132"/>
      <c r="G217" s="132" t="s">
        <v>1108</v>
      </c>
      <c r="H217" s="132" t="s">
        <v>373</v>
      </c>
      <c r="I217" s="132" t="s">
        <v>1100</v>
      </c>
      <c r="J217" s="132" t="s">
        <v>1101</v>
      </c>
      <c r="K217" s="132" t="s">
        <v>1102</v>
      </c>
      <c r="L217" s="132" t="s">
        <v>1103</v>
      </c>
      <c r="M217" s="132" t="s">
        <v>1632</v>
      </c>
      <c r="N217" s="132" t="s">
        <v>1117</v>
      </c>
      <c r="O217" s="132" t="s">
        <v>1633</v>
      </c>
      <c r="P217" s="132" t="s">
        <v>1623</v>
      </c>
      <c r="Q217" s="132" t="s">
        <v>1108</v>
      </c>
    </row>
    <row r="218" spans="1:17" x14ac:dyDescent="0.2">
      <c r="A218" s="96" t="s">
        <v>212</v>
      </c>
      <c r="B218" s="141">
        <f t="shared" si="3"/>
        <v>6.04</v>
      </c>
      <c r="C218" s="280">
        <v>45594</v>
      </c>
      <c r="D218" s="279">
        <v>45594</v>
      </c>
      <c r="E218" s="279">
        <v>45595</v>
      </c>
      <c r="F218" s="132"/>
      <c r="G218" s="132" t="s">
        <v>1108</v>
      </c>
      <c r="H218" s="132" t="s">
        <v>373</v>
      </c>
      <c r="I218" s="132" t="s">
        <v>1100</v>
      </c>
      <c r="J218" s="132" t="s">
        <v>1101</v>
      </c>
      <c r="K218" s="132" t="s">
        <v>1109</v>
      </c>
      <c r="L218" s="132" t="s">
        <v>1110</v>
      </c>
      <c r="M218" s="132" t="s">
        <v>1634</v>
      </c>
      <c r="N218" s="132" t="s">
        <v>1112</v>
      </c>
      <c r="O218" s="132" t="s">
        <v>1635</v>
      </c>
      <c r="P218" s="132" t="s">
        <v>1623</v>
      </c>
      <c r="Q218" s="132" t="s">
        <v>1108</v>
      </c>
    </row>
    <row r="219" spans="1:17" x14ac:dyDescent="0.2">
      <c r="A219" s="96" t="s">
        <v>213</v>
      </c>
      <c r="B219" s="141">
        <f t="shared" si="3"/>
        <v>7.99</v>
      </c>
      <c r="C219" s="280">
        <v>45594</v>
      </c>
      <c r="D219" s="279">
        <v>45594</v>
      </c>
      <c r="E219" s="279">
        <v>45595</v>
      </c>
      <c r="F219" s="132"/>
      <c r="G219" s="132" t="s">
        <v>1108</v>
      </c>
      <c r="H219" s="132" t="s">
        <v>373</v>
      </c>
      <c r="I219" s="132" t="s">
        <v>1100</v>
      </c>
      <c r="J219" s="132" t="s">
        <v>1171</v>
      </c>
      <c r="K219" s="132" t="s">
        <v>1172</v>
      </c>
      <c r="L219" s="132" t="s">
        <v>1173</v>
      </c>
      <c r="M219" s="132" t="s">
        <v>1636</v>
      </c>
      <c r="N219" s="132" t="s">
        <v>1112</v>
      </c>
      <c r="O219" s="132" t="s">
        <v>1637</v>
      </c>
      <c r="P219" s="132" t="s">
        <v>1623</v>
      </c>
      <c r="Q219" s="132" t="s">
        <v>1108</v>
      </c>
    </row>
    <row r="220" spans="1:17" x14ac:dyDescent="0.2">
      <c r="A220" s="96" t="s">
        <v>212</v>
      </c>
      <c r="B220" s="141">
        <f t="shared" si="3"/>
        <v>14.41</v>
      </c>
      <c r="C220" s="280">
        <v>45594</v>
      </c>
      <c r="D220" s="279">
        <v>45595</v>
      </c>
      <c r="E220" s="279">
        <v>45595</v>
      </c>
      <c r="F220" s="132"/>
      <c r="G220" s="132" t="s">
        <v>1108</v>
      </c>
      <c r="H220" s="132" t="s">
        <v>373</v>
      </c>
      <c r="I220" s="132" t="s">
        <v>1100</v>
      </c>
      <c r="J220" s="132" t="s">
        <v>1188</v>
      </c>
      <c r="K220" s="132" t="s">
        <v>1313</v>
      </c>
      <c r="L220" s="132" t="s">
        <v>1314</v>
      </c>
      <c r="M220" s="132" t="s">
        <v>1638</v>
      </c>
      <c r="N220" s="132" t="s">
        <v>1117</v>
      </c>
      <c r="O220" s="132" t="s">
        <v>1639</v>
      </c>
      <c r="P220" s="132" t="s">
        <v>1623</v>
      </c>
      <c r="Q220" s="132" t="s">
        <v>1108</v>
      </c>
    </row>
    <row r="221" spans="1:17" x14ac:dyDescent="0.2">
      <c r="A221" s="96" t="s">
        <v>213</v>
      </c>
      <c r="B221" s="141">
        <f t="shared" si="3"/>
        <v>16.27</v>
      </c>
      <c r="C221" s="280">
        <v>45594</v>
      </c>
      <c r="D221" s="279">
        <v>45594</v>
      </c>
      <c r="E221" s="279">
        <v>45595</v>
      </c>
      <c r="F221" s="132"/>
      <c r="G221" s="132" t="s">
        <v>1108</v>
      </c>
      <c r="H221" s="132" t="s">
        <v>373</v>
      </c>
      <c r="I221" s="132" t="s">
        <v>1100</v>
      </c>
      <c r="J221" s="132" t="s">
        <v>1199</v>
      </c>
      <c r="K221" s="132" t="s">
        <v>1519</v>
      </c>
      <c r="L221" s="132" t="s">
        <v>1520</v>
      </c>
      <c r="M221" s="132" t="s">
        <v>1640</v>
      </c>
      <c r="N221" s="132" t="s">
        <v>1112</v>
      </c>
      <c r="O221" s="132" t="s">
        <v>1641</v>
      </c>
      <c r="P221" s="132" t="s">
        <v>1623</v>
      </c>
      <c r="Q221" s="132" t="s">
        <v>1108</v>
      </c>
    </row>
    <row r="222" spans="1:17" x14ac:dyDescent="0.2">
      <c r="A222" s="96" t="s">
        <v>212</v>
      </c>
      <c r="B222" s="141">
        <f t="shared" si="3"/>
        <v>6.04</v>
      </c>
      <c r="C222" s="280">
        <v>45594</v>
      </c>
      <c r="D222" s="279">
        <v>45594</v>
      </c>
      <c r="E222" s="279">
        <v>45595</v>
      </c>
      <c r="F222" s="132"/>
      <c r="G222" s="132" t="s">
        <v>1108</v>
      </c>
      <c r="H222" s="132" t="s">
        <v>373</v>
      </c>
      <c r="I222" s="132" t="s">
        <v>1100</v>
      </c>
      <c r="J222" s="132" t="s">
        <v>1101</v>
      </c>
      <c r="K222" s="132" t="s">
        <v>1109</v>
      </c>
      <c r="L222" s="132" t="s">
        <v>1110</v>
      </c>
      <c r="M222" s="132" t="s">
        <v>1642</v>
      </c>
      <c r="N222" s="132" t="s">
        <v>1112</v>
      </c>
      <c r="O222" s="132" t="s">
        <v>1643</v>
      </c>
      <c r="P222" s="132" t="s">
        <v>1623</v>
      </c>
      <c r="Q222" s="132" t="s">
        <v>1108</v>
      </c>
    </row>
    <row r="223" spans="1:17" x14ac:dyDescent="0.2">
      <c r="A223" s="96" t="s">
        <v>212</v>
      </c>
      <c r="B223" s="141">
        <f t="shared" si="3"/>
        <v>6.08</v>
      </c>
      <c r="C223" s="280">
        <v>45594</v>
      </c>
      <c r="D223" s="279">
        <v>45595</v>
      </c>
      <c r="E223" s="279">
        <v>45595</v>
      </c>
      <c r="F223" s="132"/>
      <c r="G223" s="132" t="s">
        <v>1108</v>
      </c>
      <c r="H223" s="132" t="s">
        <v>373</v>
      </c>
      <c r="I223" s="132" t="s">
        <v>1100</v>
      </c>
      <c r="J223" s="132" t="s">
        <v>1101</v>
      </c>
      <c r="K223" s="132" t="s">
        <v>1102</v>
      </c>
      <c r="L223" s="132" t="s">
        <v>1103</v>
      </c>
      <c r="M223" s="132" t="s">
        <v>1644</v>
      </c>
      <c r="N223" s="132" t="s">
        <v>1117</v>
      </c>
      <c r="O223" s="132" t="s">
        <v>1645</v>
      </c>
      <c r="P223" s="132" t="s">
        <v>1623</v>
      </c>
      <c r="Q223" s="132" t="s">
        <v>1108</v>
      </c>
    </row>
    <row r="224" spans="1:17" x14ac:dyDescent="0.2">
      <c r="A224" s="96" t="s">
        <v>212</v>
      </c>
      <c r="B224" s="141">
        <f t="shared" si="3"/>
        <v>6.04</v>
      </c>
      <c r="C224" s="280">
        <v>45594</v>
      </c>
      <c r="D224" s="279">
        <v>45594</v>
      </c>
      <c r="E224" s="279">
        <v>45595</v>
      </c>
      <c r="F224" s="132"/>
      <c r="G224" s="132" t="s">
        <v>1108</v>
      </c>
      <c r="H224" s="132" t="s">
        <v>373</v>
      </c>
      <c r="I224" s="132" t="s">
        <v>1100</v>
      </c>
      <c r="J224" s="132" t="s">
        <v>1101</v>
      </c>
      <c r="K224" s="132" t="s">
        <v>1109</v>
      </c>
      <c r="L224" s="132" t="s">
        <v>1110</v>
      </c>
      <c r="M224" s="132" t="s">
        <v>1646</v>
      </c>
      <c r="N224" s="132" t="s">
        <v>1112</v>
      </c>
      <c r="O224" s="132" t="s">
        <v>1647</v>
      </c>
      <c r="P224" s="132" t="s">
        <v>1623</v>
      </c>
      <c r="Q224" s="132" t="s">
        <v>1108</v>
      </c>
    </row>
    <row r="225" spans="1:17" x14ac:dyDescent="0.2">
      <c r="A225" s="96" t="s">
        <v>212</v>
      </c>
      <c r="B225" s="141">
        <f t="shared" si="3"/>
        <v>6.04</v>
      </c>
      <c r="C225" s="280">
        <v>45594</v>
      </c>
      <c r="D225" s="279">
        <v>45594</v>
      </c>
      <c r="E225" s="279">
        <v>45595</v>
      </c>
      <c r="F225" s="132"/>
      <c r="G225" s="132" t="s">
        <v>1108</v>
      </c>
      <c r="H225" s="132" t="s">
        <v>373</v>
      </c>
      <c r="I225" s="132" t="s">
        <v>1100</v>
      </c>
      <c r="J225" s="132" t="s">
        <v>1101</v>
      </c>
      <c r="K225" s="132" t="s">
        <v>1109</v>
      </c>
      <c r="L225" s="132" t="s">
        <v>1110</v>
      </c>
      <c r="M225" s="132" t="s">
        <v>1648</v>
      </c>
      <c r="N225" s="132" t="s">
        <v>1112</v>
      </c>
      <c r="O225" s="132" t="s">
        <v>1649</v>
      </c>
      <c r="P225" s="132" t="s">
        <v>1623</v>
      </c>
      <c r="Q225" s="132" t="s">
        <v>1108</v>
      </c>
    </row>
    <row r="226" spans="1:17" x14ac:dyDescent="0.2">
      <c r="A226" s="96" t="s">
        <v>212</v>
      </c>
      <c r="B226" s="141">
        <f t="shared" si="3"/>
        <v>6.04</v>
      </c>
      <c r="C226" s="280">
        <v>45594</v>
      </c>
      <c r="D226" s="279">
        <v>45594</v>
      </c>
      <c r="E226" s="279">
        <v>45595</v>
      </c>
      <c r="F226" s="132"/>
      <c r="G226" s="132" t="s">
        <v>1108</v>
      </c>
      <c r="H226" s="132" t="s">
        <v>373</v>
      </c>
      <c r="I226" s="132" t="s">
        <v>1100</v>
      </c>
      <c r="J226" s="132" t="s">
        <v>1101</v>
      </c>
      <c r="K226" s="132" t="s">
        <v>1109</v>
      </c>
      <c r="L226" s="132" t="s">
        <v>1110</v>
      </c>
      <c r="M226" s="132" t="s">
        <v>1650</v>
      </c>
      <c r="N226" s="132" t="s">
        <v>1112</v>
      </c>
      <c r="O226" s="132" t="s">
        <v>1651</v>
      </c>
      <c r="P226" s="132" t="s">
        <v>1623</v>
      </c>
      <c r="Q226" s="132" t="s">
        <v>1108</v>
      </c>
    </row>
    <row r="227" spans="1:17" x14ac:dyDescent="0.2">
      <c r="A227" s="96" t="s">
        <v>212</v>
      </c>
      <c r="B227" s="141">
        <f t="shared" si="3"/>
        <v>6.04</v>
      </c>
      <c r="C227" s="280">
        <v>45594</v>
      </c>
      <c r="D227" s="279">
        <v>45594</v>
      </c>
      <c r="E227" s="279">
        <v>45595</v>
      </c>
      <c r="F227" s="132"/>
      <c r="G227" s="132" t="s">
        <v>1108</v>
      </c>
      <c r="H227" s="132" t="s">
        <v>373</v>
      </c>
      <c r="I227" s="132" t="s">
        <v>1100</v>
      </c>
      <c r="J227" s="132" t="s">
        <v>1101</v>
      </c>
      <c r="K227" s="132" t="s">
        <v>1109</v>
      </c>
      <c r="L227" s="132" t="s">
        <v>1110</v>
      </c>
      <c r="M227" s="132" t="s">
        <v>1652</v>
      </c>
      <c r="N227" s="132" t="s">
        <v>1112</v>
      </c>
      <c r="O227" s="132" t="s">
        <v>1653</v>
      </c>
      <c r="P227" s="132" t="s">
        <v>1623</v>
      </c>
      <c r="Q227" s="132" t="s">
        <v>1108</v>
      </c>
    </row>
    <row r="228" spans="1:17" x14ac:dyDescent="0.2">
      <c r="A228" t="s">
        <v>158</v>
      </c>
      <c r="B228" s="141">
        <f t="shared" si="3"/>
        <v>5.1000000000000005</v>
      </c>
      <c r="C228" s="280">
        <v>45594</v>
      </c>
      <c r="D228" s="279">
        <v>45596</v>
      </c>
      <c r="E228" s="279">
        <v>45596</v>
      </c>
      <c r="F228" s="132"/>
      <c r="G228" s="132" t="s">
        <v>1108</v>
      </c>
      <c r="H228" s="132" t="s">
        <v>373</v>
      </c>
      <c r="I228" s="132" t="s">
        <v>1100</v>
      </c>
      <c r="J228" s="132" t="s">
        <v>1654</v>
      </c>
      <c r="K228" s="132" t="s">
        <v>1655</v>
      </c>
      <c r="L228" s="132" t="s">
        <v>1656</v>
      </c>
      <c r="M228" s="132" t="s">
        <v>1657</v>
      </c>
      <c r="N228" s="132" t="s">
        <v>1117</v>
      </c>
      <c r="O228" s="132" t="s">
        <v>1658</v>
      </c>
      <c r="P228" s="132" t="s">
        <v>1659</v>
      </c>
      <c r="Q228" s="132" t="s">
        <v>1108</v>
      </c>
    </row>
    <row r="229" spans="1:17" x14ac:dyDescent="0.2">
      <c r="A229" t="s">
        <v>158</v>
      </c>
      <c r="B229" s="141">
        <f t="shared" si="3"/>
        <v>5.1000000000000005</v>
      </c>
      <c r="C229" s="280">
        <v>45594</v>
      </c>
      <c r="D229" s="279">
        <v>45596</v>
      </c>
      <c r="E229" s="279">
        <v>45596</v>
      </c>
      <c r="F229" s="132"/>
      <c r="G229" s="132" t="s">
        <v>1660</v>
      </c>
      <c r="H229" s="132" t="s">
        <v>373</v>
      </c>
      <c r="I229" s="132" t="s">
        <v>1100</v>
      </c>
      <c r="J229" s="132" t="s">
        <v>1654</v>
      </c>
      <c r="K229" s="132" t="s">
        <v>1655</v>
      </c>
      <c r="L229" s="132" t="s">
        <v>1656</v>
      </c>
      <c r="M229" s="132" t="s">
        <v>1661</v>
      </c>
      <c r="N229" s="132" t="s">
        <v>1105</v>
      </c>
      <c r="O229" s="132" t="s">
        <v>1662</v>
      </c>
      <c r="P229" s="132" t="s">
        <v>1659</v>
      </c>
      <c r="Q229" s="132" t="s">
        <v>1108</v>
      </c>
    </row>
    <row r="230" spans="1:17" x14ac:dyDescent="0.2">
      <c r="A230" t="s">
        <v>158</v>
      </c>
      <c r="B230" s="141">
        <f t="shared" si="3"/>
        <v>5.1000000000000005</v>
      </c>
      <c r="C230" s="280">
        <v>45594</v>
      </c>
      <c r="D230" s="279">
        <v>45595</v>
      </c>
      <c r="E230" s="279">
        <v>45596</v>
      </c>
      <c r="F230" s="132"/>
      <c r="G230" s="132" t="s">
        <v>1108</v>
      </c>
      <c r="H230" s="132" t="s">
        <v>373</v>
      </c>
      <c r="I230" s="132" t="s">
        <v>1100</v>
      </c>
      <c r="J230" s="132" t="s">
        <v>1654</v>
      </c>
      <c r="K230" s="132" t="s">
        <v>1655</v>
      </c>
      <c r="L230" s="132" t="s">
        <v>1656</v>
      </c>
      <c r="M230" s="132" t="s">
        <v>1663</v>
      </c>
      <c r="N230" s="132" t="s">
        <v>1117</v>
      </c>
      <c r="O230" s="132" t="s">
        <v>1664</v>
      </c>
      <c r="P230" s="132" t="s">
        <v>1659</v>
      </c>
      <c r="Q230" s="132" t="s">
        <v>1108</v>
      </c>
    </row>
    <row r="231" spans="1:17" x14ac:dyDescent="0.2">
      <c r="A231" t="s">
        <v>158</v>
      </c>
      <c r="B231" s="141">
        <f t="shared" si="3"/>
        <v>5.1000000000000005</v>
      </c>
      <c r="C231" s="280">
        <v>45594</v>
      </c>
      <c r="D231" s="279">
        <v>45595</v>
      </c>
      <c r="E231" s="279">
        <v>45596</v>
      </c>
      <c r="F231" s="132"/>
      <c r="G231" s="132" t="s">
        <v>1665</v>
      </c>
      <c r="H231" s="132" t="s">
        <v>373</v>
      </c>
      <c r="I231" s="132" t="s">
        <v>1100</v>
      </c>
      <c r="J231" s="132" t="s">
        <v>1654</v>
      </c>
      <c r="K231" s="132" t="s">
        <v>1655</v>
      </c>
      <c r="L231" s="132" t="s">
        <v>1656</v>
      </c>
      <c r="M231" s="132" t="s">
        <v>1666</v>
      </c>
      <c r="N231" s="132" t="s">
        <v>1105</v>
      </c>
      <c r="O231" s="132" t="s">
        <v>1667</v>
      </c>
      <c r="P231" s="132" t="s">
        <v>1659</v>
      </c>
      <c r="Q231" s="132" t="s">
        <v>1108</v>
      </c>
    </row>
    <row r="232" spans="1:17" x14ac:dyDescent="0.2">
      <c r="A232" t="s">
        <v>158</v>
      </c>
      <c r="B232" s="141">
        <f t="shared" si="3"/>
        <v>5.1000000000000005</v>
      </c>
      <c r="C232" s="280">
        <v>45594</v>
      </c>
      <c r="D232" s="279">
        <v>45595</v>
      </c>
      <c r="E232" s="279">
        <v>45596</v>
      </c>
      <c r="F232" s="132"/>
      <c r="G232" s="132" t="s">
        <v>1336</v>
      </c>
      <c r="H232" s="132" t="s">
        <v>373</v>
      </c>
      <c r="I232" s="132" t="s">
        <v>1100</v>
      </c>
      <c r="J232" s="132" t="s">
        <v>1654</v>
      </c>
      <c r="K232" s="132" t="s">
        <v>1655</v>
      </c>
      <c r="L232" s="132" t="s">
        <v>1656</v>
      </c>
      <c r="M232" s="132" t="s">
        <v>1668</v>
      </c>
      <c r="N232" s="132" t="s">
        <v>1105</v>
      </c>
      <c r="O232" s="132" t="s">
        <v>1669</v>
      </c>
      <c r="P232" s="132" t="s">
        <v>1659</v>
      </c>
      <c r="Q232" s="132" t="s">
        <v>1108</v>
      </c>
    </row>
    <row r="233" spans="1:17" x14ac:dyDescent="0.2">
      <c r="A233" t="s">
        <v>158</v>
      </c>
      <c r="B233" s="141">
        <f t="shared" si="3"/>
        <v>5.1000000000000005</v>
      </c>
      <c r="C233" s="280">
        <v>45594</v>
      </c>
      <c r="D233" s="279">
        <v>45595</v>
      </c>
      <c r="E233" s="279">
        <v>45596</v>
      </c>
      <c r="F233" s="132"/>
      <c r="G233" s="132" t="s">
        <v>1108</v>
      </c>
      <c r="H233" s="132" t="s">
        <v>373</v>
      </c>
      <c r="I233" s="132" t="s">
        <v>1100</v>
      </c>
      <c r="J233" s="132" t="s">
        <v>1654</v>
      </c>
      <c r="K233" s="132" t="s">
        <v>1655</v>
      </c>
      <c r="L233" s="132" t="s">
        <v>1656</v>
      </c>
      <c r="M233" s="132" t="s">
        <v>1670</v>
      </c>
      <c r="N233" s="132" t="s">
        <v>1117</v>
      </c>
      <c r="O233" s="132" t="s">
        <v>1671</v>
      </c>
      <c r="P233" s="132" t="s">
        <v>1659</v>
      </c>
      <c r="Q233" s="132" t="s">
        <v>1108</v>
      </c>
    </row>
    <row r="234" spans="1:17" x14ac:dyDescent="0.2">
      <c r="A234" t="s">
        <v>158</v>
      </c>
      <c r="B234" s="141">
        <f t="shared" si="3"/>
        <v>5.1000000000000005</v>
      </c>
      <c r="C234" s="280">
        <v>45594</v>
      </c>
      <c r="D234" s="279">
        <v>45596</v>
      </c>
      <c r="E234" s="279">
        <v>45596</v>
      </c>
      <c r="F234" s="132"/>
      <c r="G234" s="132" t="s">
        <v>1211</v>
      </c>
      <c r="H234" s="132" t="s">
        <v>373</v>
      </c>
      <c r="I234" s="132" t="s">
        <v>1100</v>
      </c>
      <c r="J234" s="132" t="s">
        <v>1654</v>
      </c>
      <c r="K234" s="132" t="s">
        <v>1655</v>
      </c>
      <c r="L234" s="132" t="s">
        <v>1656</v>
      </c>
      <c r="M234" s="132" t="s">
        <v>1672</v>
      </c>
      <c r="N234" s="132" t="s">
        <v>1105</v>
      </c>
      <c r="O234" s="132" t="s">
        <v>1673</v>
      </c>
      <c r="P234" s="132" t="s">
        <v>1659</v>
      </c>
      <c r="Q234" s="132" t="s">
        <v>1108</v>
      </c>
    </row>
    <row r="235" spans="1:17" x14ac:dyDescent="0.2">
      <c r="A235" t="s">
        <v>158</v>
      </c>
      <c r="B235" s="141">
        <f t="shared" si="3"/>
        <v>5.0600000000000005</v>
      </c>
      <c r="C235" s="280">
        <v>45594</v>
      </c>
      <c r="D235" s="279">
        <v>45595</v>
      </c>
      <c r="E235" s="279">
        <v>45596</v>
      </c>
      <c r="F235" s="132"/>
      <c r="G235" s="132" t="s">
        <v>1108</v>
      </c>
      <c r="H235" s="132" t="s">
        <v>373</v>
      </c>
      <c r="I235" s="132" t="s">
        <v>1100</v>
      </c>
      <c r="J235" s="132" t="s">
        <v>1654</v>
      </c>
      <c r="K235" s="132" t="s">
        <v>1102</v>
      </c>
      <c r="L235" s="132" t="s">
        <v>1674</v>
      </c>
      <c r="M235" s="132" t="s">
        <v>1675</v>
      </c>
      <c r="N235" s="132" t="s">
        <v>1112</v>
      </c>
      <c r="O235" s="132" t="s">
        <v>1676</v>
      </c>
      <c r="P235" s="132" t="s">
        <v>1659</v>
      </c>
      <c r="Q235" s="132" t="s">
        <v>1108</v>
      </c>
    </row>
    <row r="236" spans="1:17" x14ac:dyDescent="0.2">
      <c r="A236" t="s">
        <v>158</v>
      </c>
      <c r="B236" s="141">
        <f t="shared" si="3"/>
        <v>5.0600000000000005</v>
      </c>
      <c r="C236" s="280">
        <v>45594</v>
      </c>
      <c r="D236" s="279">
        <v>45595</v>
      </c>
      <c r="E236" s="279">
        <v>45596</v>
      </c>
      <c r="F236" s="132"/>
      <c r="G236" s="132" t="s">
        <v>1108</v>
      </c>
      <c r="H236" s="132" t="s">
        <v>373</v>
      </c>
      <c r="I236" s="132" t="s">
        <v>1100</v>
      </c>
      <c r="J236" s="132" t="s">
        <v>1654</v>
      </c>
      <c r="K236" s="132" t="s">
        <v>1102</v>
      </c>
      <c r="L236" s="132" t="s">
        <v>1674</v>
      </c>
      <c r="M236" s="132" t="s">
        <v>1677</v>
      </c>
      <c r="N236" s="132" t="s">
        <v>1112</v>
      </c>
      <c r="O236" s="132" t="s">
        <v>1678</v>
      </c>
      <c r="P236" s="132" t="s">
        <v>1659</v>
      </c>
      <c r="Q236" s="132" t="s">
        <v>1108</v>
      </c>
    </row>
    <row r="237" spans="1:17" x14ac:dyDescent="0.2">
      <c r="A237" t="s">
        <v>157</v>
      </c>
      <c r="B237" s="141">
        <f t="shared" si="3"/>
        <v>6.04</v>
      </c>
      <c r="C237" s="280">
        <v>45594</v>
      </c>
      <c r="D237" s="279">
        <v>45595</v>
      </c>
      <c r="E237" s="279">
        <v>45596</v>
      </c>
      <c r="F237" s="132"/>
      <c r="G237" s="132" t="s">
        <v>1108</v>
      </c>
      <c r="H237" s="132" t="s">
        <v>373</v>
      </c>
      <c r="I237" s="132" t="s">
        <v>1100</v>
      </c>
      <c r="J237" s="132" t="s">
        <v>1101</v>
      </c>
      <c r="K237" s="132" t="s">
        <v>1109</v>
      </c>
      <c r="L237" s="132" t="s">
        <v>1110</v>
      </c>
      <c r="M237" s="132" t="s">
        <v>1679</v>
      </c>
      <c r="N237" s="132" t="s">
        <v>1112</v>
      </c>
      <c r="O237" s="132" t="s">
        <v>1680</v>
      </c>
      <c r="P237" s="132" t="s">
        <v>1659</v>
      </c>
      <c r="Q237" s="132" t="s">
        <v>1108</v>
      </c>
    </row>
    <row r="238" spans="1:17" x14ac:dyDescent="0.2">
      <c r="A238" t="s">
        <v>158</v>
      </c>
      <c r="B238" s="141">
        <f t="shared" si="3"/>
        <v>5.0600000000000005</v>
      </c>
      <c r="C238" s="280">
        <v>45594</v>
      </c>
      <c r="D238" s="279">
        <v>45595</v>
      </c>
      <c r="E238" s="279">
        <v>45596</v>
      </c>
      <c r="F238" s="132"/>
      <c r="G238" s="132" t="s">
        <v>1108</v>
      </c>
      <c r="H238" s="132" t="s">
        <v>373</v>
      </c>
      <c r="I238" s="132" t="s">
        <v>1100</v>
      </c>
      <c r="J238" s="132" t="s">
        <v>1654</v>
      </c>
      <c r="K238" s="132" t="s">
        <v>1102</v>
      </c>
      <c r="L238" s="132" t="s">
        <v>1674</v>
      </c>
      <c r="M238" s="132" t="s">
        <v>1681</v>
      </c>
      <c r="N238" s="132" t="s">
        <v>1112</v>
      </c>
      <c r="O238" s="132" t="s">
        <v>1682</v>
      </c>
      <c r="P238" s="132" t="s">
        <v>1659</v>
      </c>
      <c r="Q238" s="132" t="s">
        <v>1108</v>
      </c>
    </row>
    <row r="239" spans="1:17" x14ac:dyDescent="0.2">
      <c r="A239" t="s">
        <v>158</v>
      </c>
      <c r="B239" s="141">
        <f t="shared" si="3"/>
        <v>5.0600000000000005</v>
      </c>
      <c r="C239" s="280">
        <v>45594</v>
      </c>
      <c r="D239" s="279">
        <v>45595</v>
      </c>
      <c r="E239" s="279">
        <v>45596</v>
      </c>
      <c r="F239" s="132"/>
      <c r="G239" s="132" t="s">
        <v>1108</v>
      </c>
      <c r="H239" s="132" t="s">
        <v>373</v>
      </c>
      <c r="I239" s="132" t="s">
        <v>1100</v>
      </c>
      <c r="J239" s="132" t="s">
        <v>1654</v>
      </c>
      <c r="K239" s="132" t="s">
        <v>1102</v>
      </c>
      <c r="L239" s="132" t="s">
        <v>1674</v>
      </c>
      <c r="M239" s="132" t="s">
        <v>1684</v>
      </c>
      <c r="N239" s="132" t="s">
        <v>1112</v>
      </c>
      <c r="O239" s="132" t="s">
        <v>1685</v>
      </c>
      <c r="P239" s="132" t="s">
        <v>1659</v>
      </c>
      <c r="Q239" s="132" t="s">
        <v>1108</v>
      </c>
    </row>
    <row r="240" spans="1:17" x14ac:dyDescent="0.2">
      <c r="A240" t="s">
        <v>158</v>
      </c>
      <c r="B240" s="141">
        <f t="shared" si="3"/>
        <v>11.4</v>
      </c>
      <c r="C240" s="280">
        <v>45594</v>
      </c>
      <c r="D240" s="279">
        <v>45595</v>
      </c>
      <c r="E240" s="279">
        <v>45596</v>
      </c>
      <c r="F240" s="132"/>
      <c r="G240" s="132" t="s">
        <v>1108</v>
      </c>
      <c r="H240" s="132" t="s">
        <v>373</v>
      </c>
      <c r="I240" s="132" t="s">
        <v>1100</v>
      </c>
      <c r="J240" s="132" t="s">
        <v>1686</v>
      </c>
      <c r="K240" s="132" t="s">
        <v>1687</v>
      </c>
      <c r="L240" s="132" t="s">
        <v>1688</v>
      </c>
      <c r="M240" s="132" t="s">
        <v>1689</v>
      </c>
      <c r="N240" s="132" t="s">
        <v>1112</v>
      </c>
      <c r="O240" s="132" t="s">
        <v>1690</v>
      </c>
      <c r="P240" s="132" t="s">
        <v>1659</v>
      </c>
      <c r="Q240" s="132" t="s">
        <v>1108</v>
      </c>
    </row>
    <row r="241" spans="1:17" x14ac:dyDescent="0.2">
      <c r="A241" t="s">
        <v>158</v>
      </c>
      <c r="B241" s="141">
        <f t="shared" si="3"/>
        <v>5.0600000000000005</v>
      </c>
      <c r="C241" s="280">
        <v>45594</v>
      </c>
      <c r="D241" s="279">
        <v>45595</v>
      </c>
      <c r="E241" s="279">
        <v>45596</v>
      </c>
      <c r="F241" s="132"/>
      <c r="G241" s="132" t="s">
        <v>1108</v>
      </c>
      <c r="H241" s="132" t="s">
        <v>373</v>
      </c>
      <c r="I241" s="132" t="s">
        <v>1100</v>
      </c>
      <c r="J241" s="132" t="s">
        <v>1654</v>
      </c>
      <c r="K241" s="132" t="s">
        <v>1102</v>
      </c>
      <c r="L241" s="132" t="s">
        <v>1674</v>
      </c>
      <c r="M241" s="132" t="s">
        <v>1692</v>
      </c>
      <c r="N241" s="132" t="s">
        <v>1112</v>
      </c>
      <c r="O241" s="132" t="s">
        <v>1693</v>
      </c>
      <c r="P241" s="132" t="s">
        <v>1659</v>
      </c>
      <c r="Q241" s="132" t="s">
        <v>1108</v>
      </c>
    </row>
    <row r="242" spans="1:17" x14ac:dyDescent="0.2">
      <c r="A242" t="s">
        <v>158</v>
      </c>
      <c r="B242" s="141">
        <f t="shared" si="3"/>
        <v>5.1000000000000005</v>
      </c>
      <c r="C242" s="280">
        <v>45594</v>
      </c>
      <c r="D242" s="279">
        <v>45595</v>
      </c>
      <c r="E242" s="279">
        <v>45596</v>
      </c>
      <c r="F242" s="132"/>
      <c r="G242" s="132" t="s">
        <v>1166</v>
      </c>
      <c r="H242" s="132" t="s">
        <v>373</v>
      </c>
      <c r="I242" s="132" t="s">
        <v>1100</v>
      </c>
      <c r="J242" s="132" t="s">
        <v>1654</v>
      </c>
      <c r="K242" s="132" t="s">
        <v>1655</v>
      </c>
      <c r="L242" s="132" t="s">
        <v>1656</v>
      </c>
      <c r="M242" s="132" t="s">
        <v>1694</v>
      </c>
      <c r="N242" s="132" t="s">
        <v>1105</v>
      </c>
      <c r="O242" s="132" t="s">
        <v>1695</v>
      </c>
      <c r="P242" s="132" t="s">
        <v>1659</v>
      </c>
      <c r="Q242" s="132" t="s">
        <v>1108</v>
      </c>
    </row>
    <row r="243" spans="1:17" x14ac:dyDescent="0.2">
      <c r="A243" t="s">
        <v>158</v>
      </c>
      <c r="B243" s="141">
        <f t="shared" si="3"/>
        <v>5.0600000000000005</v>
      </c>
      <c r="C243" s="280">
        <v>45594</v>
      </c>
      <c r="D243" s="279">
        <v>45595</v>
      </c>
      <c r="E243" s="279">
        <v>45596</v>
      </c>
      <c r="F243" s="132"/>
      <c r="G243" s="132" t="s">
        <v>1108</v>
      </c>
      <c r="H243" s="132" t="s">
        <v>373</v>
      </c>
      <c r="I243" s="132" t="s">
        <v>1100</v>
      </c>
      <c r="J243" s="132" t="s">
        <v>1654</v>
      </c>
      <c r="K243" s="132" t="s">
        <v>1102</v>
      </c>
      <c r="L243" s="132" t="s">
        <v>1674</v>
      </c>
      <c r="M243" s="132" t="s">
        <v>1696</v>
      </c>
      <c r="N243" s="132" t="s">
        <v>1112</v>
      </c>
      <c r="O243" s="132" t="s">
        <v>1697</v>
      </c>
      <c r="P243" s="132" t="s">
        <v>1659</v>
      </c>
      <c r="Q243" s="132" t="s">
        <v>1108</v>
      </c>
    </row>
    <row r="244" spans="1:17" x14ac:dyDescent="0.2">
      <c r="A244" t="s">
        <v>158</v>
      </c>
      <c r="B244" s="141">
        <f t="shared" si="3"/>
        <v>5.1000000000000005</v>
      </c>
      <c r="C244" s="280">
        <v>45594</v>
      </c>
      <c r="D244" s="279">
        <v>45596</v>
      </c>
      <c r="E244" s="279">
        <v>45596</v>
      </c>
      <c r="F244" s="132"/>
      <c r="G244" s="132" t="s">
        <v>1108</v>
      </c>
      <c r="H244" s="132" t="s">
        <v>373</v>
      </c>
      <c r="I244" s="132" t="s">
        <v>1100</v>
      </c>
      <c r="J244" s="132" t="s">
        <v>1654</v>
      </c>
      <c r="K244" s="132" t="s">
        <v>1655</v>
      </c>
      <c r="L244" s="132" t="s">
        <v>1656</v>
      </c>
      <c r="M244" s="132" t="s">
        <v>1698</v>
      </c>
      <c r="N244" s="132" t="s">
        <v>1117</v>
      </c>
      <c r="O244" s="132" t="s">
        <v>1699</v>
      </c>
      <c r="P244" s="132" t="s">
        <v>1659</v>
      </c>
      <c r="Q244" s="132" t="s">
        <v>1108</v>
      </c>
    </row>
    <row r="245" spans="1:17" x14ac:dyDescent="0.2">
      <c r="A245" t="s">
        <v>158</v>
      </c>
      <c r="B245" s="141">
        <f t="shared" si="3"/>
        <v>5.0600000000000005</v>
      </c>
      <c r="C245" s="280">
        <v>45594</v>
      </c>
      <c r="D245" s="279">
        <v>45595</v>
      </c>
      <c r="E245" s="279">
        <v>45596</v>
      </c>
      <c r="F245" s="132"/>
      <c r="G245" s="132" t="s">
        <v>1108</v>
      </c>
      <c r="H245" s="132" t="s">
        <v>373</v>
      </c>
      <c r="I245" s="132" t="s">
        <v>1100</v>
      </c>
      <c r="J245" s="132" t="s">
        <v>1654</v>
      </c>
      <c r="K245" s="132" t="s">
        <v>1102</v>
      </c>
      <c r="L245" s="132" t="s">
        <v>1674</v>
      </c>
      <c r="M245" s="132" t="s">
        <v>1700</v>
      </c>
      <c r="N245" s="132" t="s">
        <v>1112</v>
      </c>
      <c r="O245" s="132" t="s">
        <v>1701</v>
      </c>
      <c r="P245" s="132" t="s">
        <v>1659</v>
      </c>
      <c r="Q245" s="132" t="s">
        <v>1108</v>
      </c>
    </row>
    <row r="246" spans="1:17" x14ac:dyDescent="0.2">
      <c r="A246" t="s">
        <v>157</v>
      </c>
      <c r="B246" s="141">
        <f t="shared" si="3"/>
        <v>6.08</v>
      </c>
      <c r="C246" s="280">
        <v>45594</v>
      </c>
      <c r="D246" s="279">
        <v>45595</v>
      </c>
      <c r="E246" s="279">
        <v>45596</v>
      </c>
      <c r="F246" s="132"/>
      <c r="G246" s="132" t="s">
        <v>1108</v>
      </c>
      <c r="H246" s="132" t="s">
        <v>373</v>
      </c>
      <c r="I246" s="132" t="s">
        <v>1100</v>
      </c>
      <c r="J246" s="132" t="s">
        <v>1101</v>
      </c>
      <c r="K246" s="132" t="s">
        <v>1102</v>
      </c>
      <c r="L246" s="132" t="s">
        <v>1103</v>
      </c>
      <c r="M246" s="132" t="s">
        <v>1702</v>
      </c>
      <c r="N246" s="132" t="s">
        <v>1117</v>
      </c>
      <c r="O246" s="132" t="s">
        <v>1703</v>
      </c>
      <c r="P246" s="132" t="s">
        <v>1659</v>
      </c>
      <c r="Q246" s="132" t="s">
        <v>1108</v>
      </c>
    </row>
    <row r="247" spans="1:17" x14ac:dyDescent="0.2">
      <c r="A247" t="s">
        <v>213</v>
      </c>
      <c r="B247" s="141">
        <f t="shared" si="3"/>
        <v>24.72</v>
      </c>
      <c r="C247" s="280">
        <v>45594</v>
      </c>
      <c r="D247" s="279">
        <v>45595</v>
      </c>
      <c r="E247" s="279">
        <v>45596</v>
      </c>
      <c r="F247" s="132"/>
      <c r="G247" s="132" t="s">
        <v>1704</v>
      </c>
      <c r="H247" s="132" t="s">
        <v>373</v>
      </c>
      <c r="I247" s="132" t="s">
        <v>1100</v>
      </c>
      <c r="J247" s="132" t="s">
        <v>1705</v>
      </c>
      <c r="K247" s="132" t="s">
        <v>1706</v>
      </c>
      <c r="L247" s="132" t="s">
        <v>1707</v>
      </c>
      <c r="M247" s="132" t="s">
        <v>1708</v>
      </c>
      <c r="N247" s="132" t="s">
        <v>1105</v>
      </c>
      <c r="O247" s="132" t="s">
        <v>1709</v>
      </c>
      <c r="P247" s="132" t="s">
        <v>1659</v>
      </c>
      <c r="Q247" s="132" t="s">
        <v>1108</v>
      </c>
    </row>
    <row r="248" spans="1:17" x14ac:dyDescent="0.2">
      <c r="A248" t="s">
        <v>212</v>
      </c>
      <c r="B248" s="141">
        <f t="shared" si="3"/>
        <v>6.08</v>
      </c>
      <c r="C248" s="280">
        <v>45594</v>
      </c>
      <c r="D248" s="279">
        <v>45595</v>
      </c>
      <c r="E248" s="279">
        <v>45596</v>
      </c>
      <c r="F248" s="132"/>
      <c r="G248" s="132" t="s">
        <v>1108</v>
      </c>
      <c r="H248" s="132" t="s">
        <v>373</v>
      </c>
      <c r="I248" s="132" t="s">
        <v>1100</v>
      </c>
      <c r="J248" s="132" t="s">
        <v>1101</v>
      </c>
      <c r="K248" s="132" t="s">
        <v>1102</v>
      </c>
      <c r="L248" s="132" t="s">
        <v>1103</v>
      </c>
      <c r="M248" s="132" t="s">
        <v>1710</v>
      </c>
      <c r="N248" s="132" t="s">
        <v>1117</v>
      </c>
      <c r="O248" s="132" t="s">
        <v>1711</v>
      </c>
      <c r="P248" s="132" t="s">
        <v>1659</v>
      </c>
      <c r="Q248" s="132" t="s">
        <v>1108</v>
      </c>
    </row>
    <row r="249" spans="1:17" x14ac:dyDescent="0.2">
      <c r="A249" t="s">
        <v>213</v>
      </c>
      <c r="B249" s="141">
        <f t="shared" si="3"/>
        <v>31.09</v>
      </c>
      <c r="C249" s="280">
        <v>45594</v>
      </c>
      <c r="D249" s="279">
        <v>45595</v>
      </c>
      <c r="E249" s="279">
        <v>45596</v>
      </c>
      <c r="F249" s="132"/>
      <c r="G249" s="132" t="s">
        <v>1108</v>
      </c>
      <c r="H249" s="132" t="s">
        <v>373</v>
      </c>
      <c r="I249" s="132" t="s">
        <v>1100</v>
      </c>
      <c r="J249" s="132" t="s">
        <v>1713</v>
      </c>
      <c r="K249" s="132" t="s">
        <v>1714</v>
      </c>
      <c r="L249" s="132" t="s">
        <v>1715</v>
      </c>
      <c r="M249" s="132" t="s">
        <v>1716</v>
      </c>
      <c r="N249" s="132" t="s">
        <v>1117</v>
      </c>
      <c r="O249" s="132" t="s">
        <v>1717</v>
      </c>
      <c r="P249" s="132" t="s">
        <v>1659</v>
      </c>
      <c r="Q249" s="132" t="s">
        <v>1108</v>
      </c>
    </row>
    <row r="250" spans="1:17" x14ac:dyDescent="0.2">
      <c r="A250" t="s">
        <v>212</v>
      </c>
      <c r="B250" s="141">
        <f t="shared" si="3"/>
        <v>6.08</v>
      </c>
      <c r="C250" s="280">
        <v>45594</v>
      </c>
      <c r="D250" s="279">
        <v>45595</v>
      </c>
      <c r="E250" s="279">
        <v>45596</v>
      </c>
      <c r="F250" s="132"/>
      <c r="G250" s="132" t="s">
        <v>1108</v>
      </c>
      <c r="H250" s="132" t="s">
        <v>373</v>
      </c>
      <c r="I250" s="132" t="s">
        <v>1100</v>
      </c>
      <c r="J250" s="132" t="s">
        <v>1101</v>
      </c>
      <c r="K250" s="132" t="s">
        <v>1102</v>
      </c>
      <c r="L250" s="132" t="s">
        <v>1103</v>
      </c>
      <c r="M250" s="132" t="s">
        <v>1718</v>
      </c>
      <c r="N250" s="132" t="s">
        <v>1117</v>
      </c>
      <c r="O250" s="132" t="s">
        <v>1719</v>
      </c>
      <c r="P250" s="132" t="s">
        <v>1659</v>
      </c>
      <c r="Q250" s="132" t="s">
        <v>1108</v>
      </c>
    </row>
    <row r="251" spans="1:17" x14ac:dyDescent="0.2">
      <c r="A251" t="s">
        <v>212</v>
      </c>
      <c r="B251" s="141">
        <f t="shared" si="3"/>
        <v>6.08</v>
      </c>
      <c r="C251" s="280">
        <v>45594</v>
      </c>
      <c r="D251" s="279">
        <v>45595</v>
      </c>
      <c r="E251" s="279">
        <v>45596</v>
      </c>
      <c r="F251" s="132"/>
      <c r="G251" s="132" t="s">
        <v>1108</v>
      </c>
      <c r="H251" s="132" t="s">
        <v>373</v>
      </c>
      <c r="I251" s="132" t="s">
        <v>1100</v>
      </c>
      <c r="J251" s="132" t="s">
        <v>1101</v>
      </c>
      <c r="K251" s="132" t="s">
        <v>1102</v>
      </c>
      <c r="L251" s="132" t="s">
        <v>1103</v>
      </c>
      <c r="M251" s="132" t="s">
        <v>1720</v>
      </c>
      <c r="N251" s="132" t="s">
        <v>1117</v>
      </c>
      <c r="O251" s="132" t="s">
        <v>1721</v>
      </c>
      <c r="P251" s="132" t="s">
        <v>1659</v>
      </c>
      <c r="Q251" s="132" t="s">
        <v>1108</v>
      </c>
    </row>
    <row r="252" spans="1:17" x14ac:dyDescent="0.2">
      <c r="A252" t="s">
        <v>158</v>
      </c>
      <c r="B252" s="141">
        <f t="shared" si="3"/>
        <v>5.1000000000000005</v>
      </c>
      <c r="C252" s="280">
        <v>45595</v>
      </c>
      <c r="D252" s="279">
        <v>45595</v>
      </c>
      <c r="E252" s="279">
        <v>45596</v>
      </c>
      <c r="F252" s="132"/>
      <c r="G252" s="132" t="s">
        <v>1108</v>
      </c>
      <c r="H252" s="132" t="s">
        <v>373</v>
      </c>
      <c r="I252" s="132" t="s">
        <v>1100</v>
      </c>
      <c r="J252" s="132" t="s">
        <v>1654</v>
      </c>
      <c r="K252" s="132" t="s">
        <v>1655</v>
      </c>
      <c r="L252" s="132" t="s">
        <v>1656</v>
      </c>
      <c r="M252" s="132" t="s">
        <v>1722</v>
      </c>
      <c r="N252" s="132" t="s">
        <v>1117</v>
      </c>
      <c r="O252" s="132" t="s">
        <v>1723</v>
      </c>
      <c r="P252" s="132" t="s">
        <v>1659</v>
      </c>
      <c r="Q252" s="132" t="s">
        <v>1108</v>
      </c>
    </row>
    <row r="253" spans="1:17" x14ac:dyDescent="0.2">
      <c r="A253" t="s">
        <v>213</v>
      </c>
      <c r="B253" s="141">
        <f t="shared" si="3"/>
        <v>16.170000000000002</v>
      </c>
      <c r="C253" s="280">
        <v>45594</v>
      </c>
      <c r="D253" s="279">
        <v>45597</v>
      </c>
      <c r="E253" s="279">
        <v>45598</v>
      </c>
      <c r="F253" s="132"/>
      <c r="G253" s="132" t="s">
        <v>1724</v>
      </c>
      <c r="H253" s="132" t="s">
        <v>373</v>
      </c>
      <c r="I253" s="132" t="s">
        <v>1100</v>
      </c>
      <c r="J253" s="132" t="s">
        <v>1199</v>
      </c>
      <c r="K253" s="132" t="s">
        <v>1725</v>
      </c>
      <c r="L253" s="132" t="s">
        <v>1726</v>
      </c>
      <c r="M253" s="132" t="s">
        <v>1727</v>
      </c>
      <c r="N253" s="132" t="s">
        <v>1105</v>
      </c>
      <c r="O253" s="132" t="s">
        <v>1728</v>
      </c>
      <c r="P253" s="132" t="s">
        <v>1729</v>
      </c>
      <c r="Q253" s="132" t="s">
        <v>1108</v>
      </c>
    </row>
    <row r="254" spans="1:17" x14ac:dyDescent="0.2">
      <c r="A254" t="s">
        <v>150</v>
      </c>
      <c r="B254" s="141">
        <f t="shared" si="3"/>
        <v>3.11</v>
      </c>
      <c r="C254" s="280">
        <v>45604</v>
      </c>
      <c r="D254" s="279">
        <v>45604</v>
      </c>
      <c r="E254" s="279">
        <v>45605</v>
      </c>
      <c r="F254" s="132"/>
      <c r="G254" s="132" t="s">
        <v>1108</v>
      </c>
      <c r="H254" s="132" t="s">
        <v>373</v>
      </c>
      <c r="I254" s="132" t="s">
        <v>1100</v>
      </c>
      <c r="J254" s="132" t="s">
        <v>1730</v>
      </c>
      <c r="K254" s="132" t="s">
        <v>1731</v>
      </c>
      <c r="L254" s="132" t="s">
        <v>1732</v>
      </c>
      <c r="M254" s="132" t="s">
        <v>1733</v>
      </c>
      <c r="N254" s="132" t="s">
        <v>1112</v>
      </c>
      <c r="O254" s="132" t="s">
        <v>1734</v>
      </c>
      <c r="P254" s="132" t="s">
        <v>1735</v>
      </c>
      <c r="Q254" s="132" t="s">
        <v>1108</v>
      </c>
    </row>
    <row r="255" spans="1:17" x14ac:dyDescent="0.2">
      <c r="A255" t="s">
        <v>150</v>
      </c>
      <c r="B255" s="141">
        <f t="shared" si="3"/>
        <v>3.11</v>
      </c>
      <c r="C255" s="280">
        <v>45604</v>
      </c>
      <c r="D255" s="279">
        <v>45604</v>
      </c>
      <c r="E255" s="279">
        <v>45605</v>
      </c>
      <c r="F255" s="132"/>
      <c r="G255" s="132" t="s">
        <v>1108</v>
      </c>
      <c r="H255" s="132" t="s">
        <v>373</v>
      </c>
      <c r="I255" s="132" t="s">
        <v>1100</v>
      </c>
      <c r="J255" s="132" t="s">
        <v>1730</v>
      </c>
      <c r="K255" s="132" t="s">
        <v>1731</v>
      </c>
      <c r="L255" s="132" t="s">
        <v>1732</v>
      </c>
      <c r="M255" s="132" t="s">
        <v>1736</v>
      </c>
      <c r="N255" s="132" t="s">
        <v>1112</v>
      </c>
      <c r="O255" s="132" t="s">
        <v>1737</v>
      </c>
      <c r="P255" s="132" t="s">
        <v>1735</v>
      </c>
      <c r="Q255" s="132" t="s">
        <v>1108</v>
      </c>
    </row>
    <row r="256" spans="1:17" x14ac:dyDescent="0.2">
      <c r="A256" t="s">
        <v>150</v>
      </c>
      <c r="B256" s="141">
        <f t="shared" si="3"/>
        <v>3.11</v>
      </c>
      <c r="C256" s="280">
        <v>45604</v>
      </c>
      <c r="D256" s="279">
        <v>45604</v>
      </c>
      <c r="E256" s="279">
        <v>45605</v>
      </c>
      <c r="F256" s="132"/>
      <c r="G256" s="132" t="s">
        <v>1108</v>
      </c>
      <c r="H256" s="132" t="s">
        <v>373</v>
      </c>
      <c r="I256" s="132" t="s">
        <v>1100</v>
      </c>
      <c r="J256" s="132" t="s">
        <v>1730</v>
      </c>
      <c r="K256" s="132" t="s">
        <v>1731</v>
      </c>
      <c r="L256" s="132" t="s">
        <v>1732</v>
      </c>
      <c r="M256" s="132" t="s">
        <v>1738</v>
      </c>
      <c r="N256" s="132" t="s">
        <v>1112</v>
      </c>
      <c r="O256" s="132" t="s">
        <v>1739</v>
      </c>
      <c r="P256" s="132" t="s">
        <v>1735</v>
      </c>
      <c r="Q256" s="132" t="s">
        <v>1108</v>
      </c>
    </row>
    <row r="257" spans="1:17" x14ac:dyDescent="0.2">
      <c r="A257" t="s">
        <v>150</v>
      </c>
      <c r="B257" s="141">
        <f t="shared" si="3"/>
        <v>3.11</v>
      </c>
      <c r="C257" s="280">
        <v>45604</v>
      </c>
      <c r="D257" s="279">
        <v>45604</v>
      </c>
      <c r="E257" s="279">
        <v>45605</v>
      </c>
      <c r="F257" s="132"/>
      <c r="G257" s="132" t="s">
        <v>1108</v>
      </c>
      <c r="H257" s="132" t="s">
        <v>373</v>
      </c>
      <c r="I257" s="132" t="s">
        <v>1100</v>
      </c>
      <c r="J257" s="132" t="s">
        <v>1730</v>
      </c>
      <c r="K257" s="132" t="s">
        <v>1731</v>
      </c>
      <c r="L257" s="132" t="s">
        <v>1732</v>
      </c>
      <c r="M257" s="132" t="s">
        <v>1740</v>
      </c>
      <c r="N257" s="132" t="s">
        <v>1112</v>
      </c>
      <c r="O257" s="132" t="s">
        <v>1741</v>
      </c>
      <c r="P257" s="132" t="s">
        <v>1735</v>
      </c>
      <c r="Q257" s="132" t="s">
        <v>1108</v>
      </c>
    </row>
    <row r="258" spans="1:17" x14ac:dyDescent="0.2">
      <c r="A258" t="s">
        <v>150</v>
      </c>
      <c r="B258" s="141">
        <f t="shared" si="3"/>
        <v>3.13</v>
      </c>
      <c r="C258" s="280">
        <v>45604</v>
      </c>
      <c r="D258" s="279">
        <v>45606</v>
      </c>
      <c r="E258" s="279">
        <v>45607</v>
      </c>
      <c r="F258" s="132"/>
      <c r="G258" s="132" t="s">
        <v>1108</v>
      </c>
      <c r="H258" s="132" t="s">
        <v>373</v>
      </c>
      <c r="I258" s="132" t="s">
        <v>1100</v>
      </c>
      <c r="J258" s="132" t="s">
        <v>1730</v>
      </c>
      <c r="K258" s="132" t="s">
        <v>1742</v>
      </c>
      <c r="L258" s="132" t="s">
        <v>1743</v>
      </c>
      <c r="M258" s="132" t="s">
        <v>1744</v>
      </c>
      <c r="N258" s="132" t="s">
        <v>1117</v>
      </c>
      <c r="O258" s="132" t="s">
        <v>1745</v>
      </c>
      <c r="P258" s="132" t="s">
        <v>1746</v>
      </c>
      <c r="Q258" s="132" t="s">
        <v>1108</v>
      </c>
    </row>
    <row r="259" spans="1:17" x14ac:dyDescent="0.2">
      <c r="A259" t="s">
        <v>150</v>
      </c>
      <c r="B259" s="141">
        <f t="shared" ref="B259:B310" si="4">_xlfn.NUMBERVALUE(L259)*0.01</f>
        <v>3.13</v>
      </c>
      <c r="C259" s="280">
        <v>45604</v>
      </c>
      <c r="D259" s="279">
        <v>45606</v>
      </c>
      <c r="E259" s="279">
        <v>45607</v>
      </c>
      <c r="F259" s="132"/>
      <c r="G259" s="132" t="s">
        <v>1108</v>
      </c>
      <c r="H259" s="132" t="s">
        <v>373</v>
      </c>
      <c r="I259" s="132" t="s">
        <v>1100</v>
      </c>
      <c r="J259" s="132" t="s">
        <v>1730</v>
      </c>
      <c r="K259" s="132" t="s">
        <v>1742</v>
      </c>
      <c r="L259" s="132" t="s">
        <v>1743</v>
      </c>
      <c r="M259" s="132" t="s">
        <v>1747</v>
      </c>
      <c r="N259" s="132" t="s">
        <v>1117</v>
      </c>
      <c r="O259" s="132" t="s">
        <v>1748</v>
      </c>
      <c r="P259" s="132" t="s">
        <v>1746</v>
      </c>
      <c r="Q259" s="132" t="s">
        <v>1108</v>
      </c>
    </row>
    <row r="260" spans="1:17" x14ac:dyDescent="0.2">
      <c r="A260" t="s">
        <v>150</v>
      </c>
      <c r="B260" s="141">
        <f t="shared" si="4"/>
        <v>3.13</v>
      </c>
      <c r="C260" s="280">
        <v>45604</v>
      </c>
      <c r="D260" s="279">
        <v>45606</v>
      </c>
      <c r="E260" s="279">
        <v>45607</v>
      </c>
      <c r="F260" s="132"/>
      <c r="G260" s="132" t="s">
        <v>1108</v>
      </c>
      <c r="H260" s="132" t="s">
        <v>373</v>
      </c>
      <c r="I260" s="132" t="s">
        <v>1100</v>
      </c>
      <c r="J260" s="132" t="s">
        <v>1730</v>
      </c>
      <c r="K260" s="132" t="s">
        <v>1742</v>
      </c>
      <c r="L260" s="132" t="s">
        <v>1743</v>
      </c>
      <c r="M260" s="132" t="s">
        <v>1749</v>
      </c>
      <c r="N260" s="132" t="s">
        <v>1117</v>
      </c>
      <c r="O260" s="132" t="s">
        <v>1750</v>
      </c>
      <c r="P260" s="132" t="s">
        <v>1746</v>
      </c>
      <c r="Q260" s="132" t="s">
        <v>1108</v>
      </c>
    </row>
    <row r="261" spans="1:17" x14ac:dyDescent="0.2">
      <c r="A261" t="s">
        <v>150</v>
      </c>
      <c r="B261" s="141">
        <f t="shared" si="4"/>
        <v>3.13</v>
      </c>
      <c r="C261" s="280">
        <v>45604</v>
      </c>
      <c r="D261" s="279">
        <v>45606</v>
      </c>
      <c r="E261" s="279">
        <v>45607</v>
      </c>
      <c r="F261" s="132"/>
      <c r="G261" s="132" t="s">
        <v>1751</v>
      </c>
      <c r="H261" s="132" t="s">
        <v>373</v>
      </c>
      <c r="I261" s="132" t="s">
        <v>1100</v>
      </c>
      <c r="J261" s="132" t="s">
        <v>1730</v>
      </c>
      <c r="K261" s="132" t="s">
        <v>1742</v>
      </c>
      <c r="L261" s="132" t="s">
        <v>1743</v>
      </c>
      <c r="M261" s="132" t="s">
        <v>1752</v>
      </c>
      <c r="N261" s="132" t="s">
        <v>1105</v>
      </c>
      <c r="O261" s="132" t="s">
        <v>1753</v>
      </c>
      <c r="P261" s="132" t="s">
        <v>1746</v>
      </c>
      <c r="Q261" s="132" t="s">
        <v>1108</v>
      </c>
    </row>
    <row r="262" spans="1:17" x14ac:dyDescent="0.2">
      <c r="A262" t="s">
        <v>151</v>
      </c>
      <c r="B262" s="141">
        <f t="shared" si="4"/>
        <v>4.1100000000000003</v>
      </c>
      <c r="C262" s="280">
        <v>45604</v>
      </c>
      <c r="D262" s="279">
        <v>45606</v>
      </c>
      <c r="E262" s="279">
        <v>45607</v>
      </c>
      <c r="F262" s="132"/>
      <c r="G262" s="132" t="s">
        <v>1406</v>
      </c>
      <c r="H262" s="132" t="s">
        <v>373</v>
      </c>
      <c r="I262" s="132" t="s">
        <v>1100</v>
      </c>
      <c r="J262" s="132" t="s">
        <v>1754</v>
      </c>
      <c r="K262" s="132" t="s">
        <v>1755</v>
      </c>
      <c r="L262" s="132" t="s">
        <v>1756</v>
      </c>
      <c r="M262" s="132" t="s">
        <v>1757</v>
      </c>
      <c r="N262" s="132" t="s">
        <v>1105</v>
      </c>
      <c r="O262" s="132" t="s">
        <v>1758</v>
      </c>
      <c r="P262" s="132" t="s">
        <v>1746</v>
      </c>
      <c r="Q262" s="132" t="s">
        <v>1108</v>
      </c>
    </row>
    <row r="263" spans="1:17" x14ac:dyDescent="0.2">
      <c r="A263" t="s">
        <v>150</v>
      </c>
      <c r="B263" s="141">
        <f t="shared" si="4"/>
        <v>3.13</v>
      </c>
      <c r="C263" s="280">
        <v>45604</v>
      </c>
      <c r="D263" s="279">
        <v>45606</v>
      </c>
      <c r="E263" s="279">
        <v>45607</v>
      </c>
      <c r="F263" s="132"/>
      <c r="G263" s="132" t="s">
        <v>1303</v>
      </c>
      <c r="H263" s="132" t="s">
        <v>373</v>
      </c>
      <c r="I263" s="132" t="s">
        <v>1100</v>
      </c>
      <c r="J263" s="132" t="s">
        <v>1730</v>
      </c>
      <c r="K263" s="132" t="s">
        <v>1742</v>
      </c>
      <c r="L263" s="132" t="s">
        <v>1743</v>
      </c>
      <c r="M263" s="132" t="s">
        <v>1759</v>
      </c>
      <c r="N263" s="132" t="s">
        <v>1105</v>
      </c>
      <c r="O263" s="132" t="s">
        <v>1760</v>
      </c>
      <c r="P263" s="132" t="s">
        <v>1746</v>
      </c>
      <c r="Q263" s="132" t="s">
        <v>1108</v>
      </c>
    </row>
    <row r="264" spans="1:17" x14ac:dyDescent="0.2">
      <c r="A264" t="s">
        <v>150</v>
      </c>
      <c r="B264" s="141">
        <f t="shared" si="4"/>
        <v>3.13</v>
      </c>
      <c r="C264" s="280">
        <v>45604</v>
      </c>
      <c r="D264" s="279">
        <v>45606</v>
      </c>
      <c r="E264" s="279">
        <v>45607</v>
      </c>
      <c r="F264" s="132"/>
      <c r="G264" s="132" t="s">
        <v>1336</v>
      </c>
      <c r="H264" s="132" t="s">
        <v>373</v>
      </c>
      <c r="I264" s="132" t="s">
        <v>1100</v>
      </c>
      <c r="J264" s="132" t="s">
        <v>1730</v>
      </c>
      <c r="K264" s="132" t="s">
        <v>1742</v>
      </c>
      <c r="L264" s="132" t="s">
        <v>1743</v>
      </c>
      <c r="M264" s="132" t="s">
        <v>1761</v>
      </c>
      <c r="N264" s="132" t="s">
        <v>1105</v>
      </c>
      <c r="O264" s="132" t="s">
        <v>1762</v>
      </c>
      <c r="P264" s="132" t="s">
        <v>1746</v>
      </c>
      <c r="Q264" s="132" t="s">
        <v>1108</v>
      </c>
    </row>
    <row r="265" spans="1:17" x14ac:dyDescent="0.2">
      <c r="A265" t="s">
        <v>150</v>
      </c>
      <c r="B265" s="141">
        <f t="shared" si="4"/>
        <v>3.13</v>
      </c>
      <c r="C265" s="280">
        <v>45604</v>
      </c>
      <c r="D265" s="279">
        <v>45606</v>
      </c>
      <c r="E265" s="279">
        <v>45607</v>
      </c>
      <c r="F265" s="132"/>
      <c r="G265" s="132" t="s">
        <v>1290</v>
      </c>
      <c r="H265" s="132" t="s">
        <v>373</v>
      </c>
      <c r="I265" s="132" t="s">
        <v>1100</v>
      </c>
      <c r="J265" s="132" t="s">
        <v>1730</v>
      </c>
      <c r="K265" s="132" t="s">
        <v>1742</v>
      </c>
      <c r="L265" s="132" t="s">
        <v>1743</v>
      </c>
      <c r="M265" s="132" t="s">
        <v>1763</v>
      </c>
      <c r="N265" s="132" t="s">
        <v>1105</v>
      </c>
      <c r="O265" s="132" t="s">
        <v>1764</v>
      </c>
      <c r="P265" s="132" t="s">
        <v>1746</v>
      </c>
      <c r="Q265" s="132" t="s">
        <v>1108</v>
      </c>
    </row>
    <row r="266" spans="1:17" x14ac:dyDescent="0.2">
      <c r="A266" t="s">
        <v>150</v>
      </c>
      <c r="B266" s="141">
        <f t="shared" si="4"/>
        <v>3.13</v>
      </c>
      <c r="C266" s="280">
        <v>45604</v>
      </c>
      <c r="D266" s="279">
        <v>45606</v>
      </c>
      <c r="E266" s="279">
        <v>45607</v>
      </c>
      <c r="F266" s="132"/>
      <c r="G266" s="132" t="s">
        <v>1229</v>
      </c>
      <c r="H266" s="132" t="s">
        <v>373</v>
      </c>
      <c r="I266" s="132" t="s">
        <v>1100</v>
      </c>
      <c r="J266" s="132" t="s">
        <v>1730</v>
      </c>
      <c r="K266" s="132" t="s">
        <v>1742</v>
      </c>
      <c r="L266" s="132" t="s">
        <v>1743</v>
      </c>
      <c r="M266" s="132" t="s">
        <v>1765</v>
      </c>
      <c r="N266" s="132" t="s">
        <v>1105</v>
      </c>
      <c r="O266" s="132" t="s">
        <v>1766</v>
      </c>
      <c r="P266" s="132" t="s">
        <v>1746</v>
      </c>
      <c r="Q266" s="132" t="s">
        <v>1108</v>
      </c>
    </row>
    <row r="267" spans="1:17" x14ac:dyDescent="0.2">
      <c r="A267" t="s">
        <v>150</v>
      </c>
      <c r="B267" s="141">
        <f t="shared" si="4"/>
        <v>3.13</v>
      </c>
      <c r="C267" s="280">
        <v>45605</v>
      </c>
      <c r="D267" s="279">
        <v>45606</v>
      </c>
      <c r="E267" s="279">
        <v>45607</v>
      </c>
      <c r="F267" s="132"/>
      <c r="G267" s="132" t="s">
        <v>1108</v>
      </c>
      <c r="H267" s="132" t="s">
        <v>373</v>
      </c>
      <c r="I267" s="132" t="s">
        <v>1100</v>
      </c>
      <c r="J267" s="132" t="s">
        <v>1730</v>
      </c>
      <c r="K267" s="132" t="s">
        <v>1742</v>
      </c>
      <c r="L267" s="132" t="s">
        <v>1743</v>
      </c>
      <c r="M267" s="132" t="s">
        <v>1767</v>
      </c>
      <c r="N267" s="132" t="s">
        <v>1117</v>
      </c>
      <c r="O267" s="132" t="s">
        <v>1768</v>
      </c>
      <c r="P267" s="132" t="s">
        <v>1746</v>
      </c>
      <c r="Q267" s="132" t="s">
        <v>1108</v>
      </c>
    </row>
    <row r="268" spans="1:17" x14ac:dyDescent="0.2">
      <c r="A268" t="s">
        <v>150</v>
      </c>
      <c r="B268" s="141">
        <f t="shared" si="4"/>
        <v>3.13</v>
      </c>
      <c r="C268" s="280">
        <v>45605</v>
      </c>
      <c r="D268" s="279">
        <v>45606</v>
      </c>
      <c r="E268" s="279">
        <v>45607</v>
      </c>
      <c r="F268" s="132"/>
      <c r="G268" s="132" t="s">
        <v>1478</v>
      </c>
      <c r="H268" s="132" t="s">
        <v>373</v>
      </c>
      <c r="I268" s="132" t="s">
        <v>1100</v>
      </c>
      <c r="J268" s="132" t="s">
        <v>1730</v>
      </c>
      <c r="K268" s="132" t="s">
        <v>1742</v>
      </c>
      <c r="L268" s="132" t="s">
        <v>1743</v>
      </c>
      <c r="M268" s="132" t="s">
        <v>1769</v>
      </c>
      <c r="N268" s="132" t="s">
        <v>1105</v>
      </c>
      <c r="O268" s="132" t="s">
        <v>1770</v>
      </c>
      <c r="P268" s="132" t="s">
        <v>1746</v>
      </c>
      <c r="Q268" s="132" t="s">
        <v>1108</v>
      </c>
    </row>
    <row r="269" spans="1:17" x14ac:dyDescent="0.2">
      <c r="A269" t="s">
        <v>150</v>
      </c>
      <c r="B269" s="141">
        <f t="shared" si="4"/>
        <v>3.13</v>
      </c>
      <c r="C269" s="280">
        <v>45605</v>
      </c>
      <c r="D269" s="279">
        <v>45606</v>
      </c>
      <c r="E269" s="279">
        <v>45607</v>
      </c>
      <c r="F269" s="132"/>
      <c r="G269" s="132" t="s">
        <v>1421</v>
      </c>
      <c r="H269" s="132" t="s">
        <v>373</v>
      </c>
      <c r="I269" s="132" t="s">
        <v>1100</v>
      </c>
      <c r="J269" s="132" t="s">
        <v>1730</v>
      </c>
      <c r="K269" s="132" t="s">
        <v>1742</v>
      </c>
      <c r="L269" s="132" t="s">
        <v>1743</v>
      </c>
      <c r="M269" s="132" t="s">
        <v>1771</v>
      </c>
      <c r="N269" s="132" t="s">
        <v>1105</v>
      </c>
      <c r="O269" s="132" t="s">
        <v>1772</v>
      </c>
      <c r="P269" s="132" t="s">
        <v>1746</v>
      </c>
      <c r="Q269" s="132" t="s">
        <v>1108</v>
      </c>
    </row>
    <row r="270" spans="1:17" x14ac:dyDescent="0.2">
      <c r="A270" t="s">
        <v>150</v>
      </c>
      <c r="B270" s="141">
        <f t="shared" si="4"/>
        <v>3.13</v>
      </c>
      <c r="C270" s="280">
        <v>45607</v>
      </c>
      <c r="D270" s="279">
        <v>45608</v>
      </c>
      <c r="E270" s="279">
        <v>45609</v>
      </c>
      <c r="F270" s="132"/>
      <c r="G270" s="132" t="s">
        <v>1108</v>
      </c>
      <c r="H270" s="132" t="s">
        <v>373</v>
      </c>
      <c r="I270" s="132" t="s">
        <v>1100</v>
      </c>
      <c r="J270" s="132" t="s">
        <v>1730</v>
      </c>
      <c r="K270" s="132" t="s">
        <v>1742</v>
      </c>
      <c r="L270" s="132" t="s">
        <v>1743</v>
      </c>
      <c r="M270" s="132" t="s">
        <v>1773</v>
      </c>
      <c r="N270" s="132" t="s">
        <v>1117</v>
      </c>
      <c r="O270" s="132" t="s">
        <v>1774</v>
      </c>
      <c r="P270" s="132" t="s">
        <v>1775</v>
      </c>
      <c r="Q270" s="132" t="s">
        <v>1108</v>
      </c>
    </row>
    <row r="271" spans="1:17" x14ac:dyDescent="0.2">
      <c r="A271" t="s">
        <v>150</v>
      </c>
      <c r="B271" s="141">
        <f t="shared" si="4"/>
        <v>3.11</v>
      </c>
      <c r="C271" s="280">
        <v>45607</v>
      </c>
      <c r="D271" s="279">
        <v>45608</v>
      </c>
      <c r="E271" s="279">
        <v>45609</v>
      </c>
      <c r="F271" s="132"/>
      <c r="G271" s="132" t="s">
        <v>1108</v>
      </c>
      <c r="H271" s="132" t="s">
        <v>373</v>
      </c>
      <c r="I271" s="132" t="s">
        <v>1100</v>
      </c>
      <c r="J271" s="132" t="s">
        <v>1730</v>
      </c>
      <c r="K271" s="132" t="s">
        <v>1731</v>
      </c>
      <c r="L271" s="132" t="s">
        <v>1732</v>
      </c>
      <c r="M271" s="132" t="s">
        <v>1776</v>
      </c>
      <c r="N271" s="132" t="s">
        <v>1112</v>
      </c>
      <c r="O271" s="132" t="s">
        <v>1777</v>
      </c>
      <c r="P271" s="132" t="s">
        <v>1775</v>
      </c>
      <c r="Q271" s="132" t="s">
        <v>1108</v>
      </c>
    </row>
    <row r="272" spans="1:17" x14ac:dyDescent="0.2">
      <c r="A272" t="s">
        <v>150</v>
      </c>
      <c r="B272" s="141">
        <f t="shared" si="4"/>
        <v>3.11</v>
      </c>
      <c r="C272" s="280">
        <v>45607</v>
      </c>
      <c r="D272" s="279">
        <v>45608</v>
      </c>
      <c r="E272" s="279">
        <v>45609</v>
      </c>
      <c r="F272" s="132"/>
      <c r="G272" s="132" t="s">
        <v>1108</v>
      </c>
      <c r="H272" s="132" t="s">
        <v>373</v>
      </c>
      <c r="I272" s="132" t="s">
        <v>1100</v>
      </c>
      <c r="J272" s="132" t="s">
        <v>1730</v>
      </c>
      <c r="K272" s="132" t="s">
        <v>1731</v>
      </c>
      <c r="L272" s="132" t="s">
        <v>1732</v>
      </c>
      <c r="M272" s="132" t="s">
        <v>1778</v>
      </c>
      <c r="N272" s="132" t="s">
        <v>1112</v>
      </c>
      <c r="O272" s="132" t="s">
        <v>1779</v>
      </c>
      <c r="P272" s="132" t="s">
        <v>1775</v>
      </c>
      <c r="Q272" s="132" t="s">
        <v>1108</v>
      </c>
    </row>
    <row r="273" spans="1:17" x14ac:dyDescent="0.2">
      <c r="A273" t="s">
        <v>150</v>
      </c>
      <c r="B273" s="141">
        <f t="shared" si="4"/>
        <v>3.13</v>
      </c>
      <c r="C273" s="280">
        <v>45607</v>
      </c>
      <c r="D273" s="279">
        <v>45608</v>
      </c>
      <c r="E273" s="279">
        <v>45609</v>
      </c>
      <c r="F273" s="132"/>
      <c r="G273" s="132" t="s">
        <v>1166</v>
      </c>
      <c r="H273" s="132" t="s">
        <v>373</v>
      </c>
      <c r="I273" s="132" t="s">
        <v>1100</v>
      </c>
      <c r="J273" s="132" t="s">
        <v>1730</v>
      </c>
      <c r="K273" s="132" t="s">
        <v>1742</v>
      </c>
      <c r="L273" s="132" t="s">
        <v>1743</v>
      </c>
      <c r="M273" s="132" t="s">
        <v>1780</v>
      </c>
      <c r="N273" s="132" t="s">
        <v>1105</v>
      </c>
      <c r="O273" s="132" t="s">
        <v>1781</v>
      </c>
      <c r="P273" s="132" t="s">
        <v>1775</v>
      </c>
      <c r="Q273" s="132" t="s">
        <v>1108</v>
      </c>
    </row>
    <row r="274" spans="1:17" x14ac:dyDescent="0.2">
      <c r="A274" t="s">
        <v>150</v>
      </c>
      <c r="B274" s="141">
        <f t="shared" si="4"/>
        <v>3.13</v>
      </c>
      <c r="C274" s="280">
        <v>45607</v>
      </c>
      <c r="D274" s="279">
        <v>45608</v>
      </c>
      <c r="E274" s="279">
        <v>45609</v>
      </c>
      <c r="F274" s="132"/>
      <c r="G274" s="132" t="s">
        <v>1108</v>
      </c>
      <c r="H274" s="132" t="s">
        <v>373</v>
      </c>
      <c r="I274" s="132" t="s">
        <v>1100</v>
      </c>
      <c r="J274" s="132" t="s">
        <v>1730</v>
      </c>
      <c r="K274" s="132" t="s">
        <v>1742</v>
      </c>
      <c r="L274" s="132" t="s">
        <v>1743</v>
      </c>
      <c r="M274" s="132" t="s">
        <v>1782</v>
      </c>
      <c r="N274" s="132" t="s">
        <v>1117</v>
      </c>
      <c r="O274" s="132" t="s">
        <v>1783</v>
      </c>
      <c r="P274" s="132" t="s">
        <v>1775</v>
      </c>
      <c r="Q274" s="132" t="s">
        <v>1108</v>
      </c>
    </row>
    <row r="275" spans="1:17" x14ac:dyDescent="0.2">
      <c r="A275" t="s">
        <v>150</v>
      </c>
      <c r="B275" s="141">
        <f t="shared" si="4"/>
        <v>3.13</v>
      </c>
      <c r="C275" s="280">
        <v>45607</v>
      </c>
      <c r="D275" s="279">
        <v>45608</v>
      </c>
      <c r="E275" s="279">
        <v>45609</v>
      </c>
      <c r="F275" s="132"/>
      <c r="G275" s="132" t="s">
        <v>1466</v>
      </c>
      <c r="H275" s="132" t="s">
        <v>373</v>
      </c>
      <c r="I275" s="132" t="s">
        <v>1100</v>
      </c>
      <c r="J275" s="132" t="s">
        <v>1730</v>
      </c>
      <c r="K275" s="132" t="s">
        <v>1742</v>
      </c>
      <c r="L275" s="132" t="s">
        <v>1743</v>
      </c>
      <c r="M275" s="132" t="s">
        <v>1784</v>
      </c>
      <c r="N275" s="132" t="s">
        <v>1105</v>
      </c>
      <c r="O275" s="132" t="s">
        <v>1785</v>
      </c>
      <c r="P275" s="132" t="s">
        <v>1775</v>
      </c>
      <c r="Q275" s="132" t="s">
        <v>1108</v>
      </c>
    </row>
    <row r="276" spans="1:17" x14ac:dyDescent="0.2">
      <c r="A276" t="s">
        <v>150</v>
      </c>
      <c r="B276" s="141">
        <f t="shared" si="4"/>
        <v>3.13</v>
      </c>
      <c r="C276" s="280">
        <v>45608</v>
      </c>
      <c r="D276" s="279">
        <v>45609</v>
      </c>
      <c r="E276" s="279">
        <v>45609</v>
      </c>
      <c r="F276" s="132"/>
      <c r="G276" s="132" t="s">
        <v>1108</v>
      </c>
      <c r="H276" s="132" t="s">
        <v>373</v>
      </c>
      <c r="I276" s="132" t="s">
        <v>1100</v>
      </c>
      <c r="J276" s="132" t="s">
        <v>1730</v>
      </c>
      <c r="K276" s="132" t="s">
        <v>1742</v>
      </c>
      <c r="L276" s="132" t="s">
        <v>1743</v>
      </c>
      <c r="M276" s="132" t="s">
        <v>1786</v>
      </c>
      <c r="N276" s="132" t="s">
        <v>1117</v>
      </c>
      <c r="O276" s="132" t="s">
        <v>1787</v>
      </c>
      <c r="P276" s="132" t="s">
        <v>1775</v>
      </c>
      <c r="Q276" s="132" t="s">
        <v>1108</v>
      </c>
    </row>
    <row r="277" spans="1:17" x14ac:dyDescent="0.2">
      <c r="A277" t="s">
        <v>150</v>
      </c>
      <c r="B277" s="141">
        <f t="shared" si="4"/>
        <v>3.11</v>
      </c>
      <c r="C277" s="280">
        <v>45608</v>
      </c>
      <c r="D277" s="279">
        <v>45608</v>
      </c>
      <c r="E277" s="279">
        <v>45609</v>
      </c>
      <c r="F277" s="132"/>
      <c r="G277" s="132" t="s">
        <v>1108</v>
      </c>
      <c r="H277" s="132" t="s">
        <v>373</v>
      </c>
      <c r="I277" s="132" t="s">
        <v>1100</v>
      </c>
      <c r="J277" s="132" t="s">
        <v>1730</v>
      </c>
      <c r="K277" s="132" t="s">
        <v>1731</v>
      </c>
      <c r="L277" s="132" t="s">
        <v>1732</v>
      </c>
      <c r="M277" s="132" t="s">
        <v>1788</v>
      </c>
      <c r="N277" s="132" t="s">
        <v>1112</v>
      </c>
      <c r="O277" s="132" t="s">
        <v>1789</v>
      </c>
      <c r="P277" s="132" t="s">
        <v>1775</v>
      </c>
      <c r="Q277" s="132" t="s">
        <v>1108</v>
      </c>
    </row>
    <row r="278" spans="1:17" x14ac:dyDescent="0.2">
      <c r="A278" t="s">
        <v>150</v>
      </c>
      <c r="B278" s="141">
        <f t="shared" si="4"/>
        <v>3.11</v>
      </c>
      <c r="C278" s="280">
        <v>45608</v>
      </c>
      <c r="D278" s="279">
        <v>45608</v>
      </c>
      <c r="E278" s="279">
        <v>45609</v>
      </c>
      <c r="F278" s="132"/>
      <c r="G278" s="132" t="s">
        <v>1108</v>
      </c>
      <c r="H278" s="132" t="s">
        <v>373</v>
      </c>
      <c r="I278" s="132" t="s">
        <v>1100</v>
      </c>
      <c r="J278" s="132" t="s">
        <v>1730</v>
      </c>
      <c r="K278" s="132" t="s">
        <v>1731</v>
      </c>
      <c r="L278" s="132" t="s">
        <v>1732</v>
      </c>
      <c r="M278" s="132" t="s">
        <v>1790</v>
      </c>
      <c r="N278" s="132" t="s">
        <v>1112</v>
      </c>
      <c r="O278" s="132" t="s">
        <v>1791</v>
      </c>
      <c r="P278" s="132" t="s">
        <v>1775</v>
      </c>
      <c r="Q278" s="132" t="s">
        <v>1108</v>
      </c>
    </row>
    <row r="279" spans="1:17" x14ac:dyDescent="0.2">
      <c r="A279" t="s">
        <v>151</v>
      </c>
      <c r="B279" s="141">
        <f t="shared" si="4"/>
        <v>4.09</v>
      </c>
      <c r="C279" s="280">
        <v>45608</v>
      </c>
      <c r="D279" s="279">
        <v>45608</v>
      </c>
      <c r="E279" s="279">
        <v>45609</v>
      </c>
      <c r="F279" s="132"/>
      <c r="G279" s="132" t="s">
        <v>1108</v>
      </c>
      <c r="H279" s="132" t="s">
        <v>373</v>
      </c>
      <c r="I279" s="132" t="s">
        <v>1100</v>
      </c>
      <c r="J279" s="132" t="s">
        <v>1754</v>
      </c>
      <c r="K279" s="132" t="s">
        <v>1792</v>
      </c>
      <c r="L279" s="132" t="s">
        <v>1793</v>
      </c>
      <c r="M279" s="132" t="s">
        <v>1794</v>
      </c>
      <c r="N279" s="132" t="s">
        <v>1112</v>
      </c>
      <c r="O279" s="132" t="s">
        <v>1795</v>
      </c>
      <c r="P279" s="132" t="s">
        <v>1775</v>
      </c>
      <c r="Q279" s="132" t="s">
        <v>1108</v>
      </c>
    </row>
    <row r="280" spans="1:17" x14ac:dyDescent="0.2">
      <c r="A280" t="s">
        <v>150</v>
      </c>
      <c r="B280" s="141">
        <f t="shared" si="4"/>
        <v>3.13</v>
      </c>
      <c r="C280" s="280">
        <v>45608</v>
      </c>
      <c r="D280" s="279">
        <v>45610</v>
      </c>
      <c r="E280" s="279">
        <v>45610</v>
      </c>
      <c r="F280" s="132"/>
      <c r="G280" s="132" t="s">
        <v>1320</v>
      </c>
      <c r="H280" s="132" t="s">
        <v>373</v>
      </c>
      <c r="I280" s="132" t="s">
        <v>1100</v>
      </c>
      <c r="J280" s="132" t="s">
        <v>1730</v>
      </c>
      <c r="K280" s="132" t="s">
        <v>1742</v>
      </c>
      <c r="L280" s="132" t="s">
        <v>1743</v>
      </c>
      <c r="M280" s="132" t="s">
        <v>1796</v>
      </c>
      <c r="N280" s="132" t="s">
        <v>1105</v>
      </c>
      <c r="O280" s="132" t="s">
        <v>1797</v>
      </c>
      <c r="P280" s="132" t="s">
        <v>1798</v>
      </c>
      <c r="Q280" s="132" t="s">
        <v>1108</v>
      </c>
    </row>
    <row r="281" spans="1:17" x14ac:dyDescent="0.2">
      <c r="A281" t="s">
        <v>151</v>
      </c>
      <c r="B281" s="141">
        <f t="shared" si="4"/>
        <v>4.09</v>
      </c>
      <c r="C281" s="280">
        <v>45608</v>
      </c>
      <c r="D281" s="279">
        <v>45609</v>
      </c>
      <c r="E281" s="279">
        <v>45610</v>
      </c>
      <c r="F281" s="132"/>
      <c r="G281" s="132" t="s">
        <v>1108</v>
      </c>
      <c r="H281" s="132" t="s">
        <v>373</v>
      </c>
      <c r="I281" s="132" t="s">
        <v>1100</v>
      </c>
      <c r="J281" s="132" t="s">
        <v>1754</v>
      </c>
      <c r="K281" s="132" t="s">
        <v>1792</v>
      </c>
      <c r="L281" s="132" t="s">
        <v>1793</v>
      </c>
      <c r="M281" s="132" t="s">
        <v>1799</v>
      </c>
      <c r="N281" s="132" t="s">
        <v>1112</v>
      </c>
      <c r="O281" s="132" t="s">
        <v>1800</v>
      </c>
      <c r="P281" s="132" t="s">
        <v>1798</v>
      </c>
      <c r="Q281" s="132" t="s">
        <v>1108</v>
      </c>
    </row>
    <row r="282" spans="1:17" x14ac:dyDescent="0.2">
      <c r="A282" t="s">
        <v>150</v>
      </c>
      <c r="B282" s="141">
        <f t="shared" si="4"/>
        <v>3.11</v>
      </c>
      <c r="C282" s="280">
        <v>45608</v>
      </c>
      <c r="D282" s="279">
        <v>45609</v>
      </c>
      <c r="E282" s="279">
        <v>45610</v>
      </c>
      <c r="F282" s="132"/>
      <c r="G282" s="132" t="s">
        <v>1108</v>
      </c>
      <c r="H282" s="132" t="s">
        <v>373</v>
      </c>
      <c r="I282" s="132" t="s">
        <v>1100</v>
      </c>
      <c r="J282" s="132" t="s">
        <v>1730</v>
      </c>
      <c r="K282" s="132" t="s">
        <v>1731</v>
      </c>
      <c r="L282" s="132" t="s">
        <v>1732</v>
      </c>
      <c r="M282" s="132" t="s">
        <v>1801</v>
      </c>
      <c r="N282" s="132" t="s">
        <v>1112</v>
      </c>
      <c r="O282" s="132" t="s">
        <v>1802</v>
      </c>
      <c r="P282" s="132" t="s">
        <v>1798</v>
      </c>
      <c r="Q282" s="132" t="s">
        <v>1108</v>
      </c>
    </row>
    <row r="283" spans="1:17" x14ac:dyDescent="0.2">
      <c r="A283" t="s">
        <v>150</v>
      </c>
      <c r="B283" s="141">
        <f t="shared" si="4"/>
        <v>3.11</v>
      </c>
      <c r="C283" s="280">
        <v>45608</v>
      </c>
      <c r="D283" s="279">
        <v>45609</v>
      </c>
      <c r="E283" s="279">
        <v>45610</v>
      </c>
      <c r="F283" s="132"/>
      <c r="G283" s="132" t="s">
        <v>1108</v>
      </c>
      <c r="H283" s="132" t="s">
        <v>373</v>
      </c>
      <c r="I283" s="132" t="s">
        <v>1100</v>
      </c>
      <c r="J283" s="132" t="s">
        <v>1730</v>
      </c>
      <c r="K283" s="132" t="s">
        <v>1731</v>
      </c>
      <c r="L283" s="132" t="s">
        <v>1732</v>
      </c>
      <c r="M283" s="132" t="s">
        <v>1803</v>
      </c>
      <c r="N283" s="132" t="s">
        <v>1112</v>
      </c>
      <c r="O283" s="132" t="s">
        <v>1804</v>
      </c>
      <c r="P283" s="132" t="s">
        <v>1798</v>
      </c>
      <c r="Q283" s="132" t="s">
        <v>1108</v>
      </c>
    </row>
    <row r="284" spans="1:17" x14ac:dyDescent="0.2">
      <c r="A284" t="s">
        <v>150</v>
      </c>
      <c r="B284" s="141">
        <f t="shared" si="4"/>
        <v>3.11</v>
      </c>
      <c r="C284" s="280">
        <v>45608</v>
      </c>
      <c r="D284" s="279">
        <v>45609</v>
      </c>
      <c r="E284" s="279">
        <v>45610</v>
      </c>
      <c r="F284" s="132"/>
      <c r="G284" s="132" t="s">
        <v>1108</v>
      </c>
      <c r="H284" s="132" t="s">
        <v>373</v>
      </c>
      <c r="I284" s="132" t="s">
        <v>1100</v>
      </c>
      <c r="J284" s="132" t="s">
        <v>1730</v>
      </c>
      <c r="K284" s="132" t="s">
        <v>1731</v>
      </c>
      <c r="L284" s="132" t="s">
        <v>1732</v>
      </c>
      <c r="M284" s="132" t="s">
        <v>1805</v>
      </c>
      <c r="N284" s="132" t="s">
        <v>1112</v>
      </c>
      <c r="O284" s="132" t="s">
        <v>1806</v>
      </c>
      <c r="P284" s="132" t="s">
        <v>1798</v>
      </c>
      <c r="Q284" s="132" t="s">
        <v>1108</v>
      </c>
    </row>
    <row r="285" spans="1:17" x14ac:dyDescent="0.2">
      <c r="A285" t="s">
        <v>151</v>
      </c>
      <c r="B285" s="141">
        <f t="shared" si="4"/>
        <v>4.1100000000000003</v>
      </c>
      <c r="C285" s="280">
        <v>45608</v>
      </c>
      <c r="D285" s="279">
        <v>45609</v>
      </c>
      <c r="E285" s="279">
        <v>45610</v>
      </c>
      <c r="F285" s="132"/>
      <c r="G285" s="132" t="s">
        <v>1108</v>
      </c>
      <c r="H285" s="132" t="s">
        <v>373</v>
      </c>
      <c r="I285" s="132" t="s">
        <v>1100</v>
      </c>
      <c r="J285" s="132" t="s">
        <v>1754</v>
      </c>
      <c r="K285" s="132" t="s">
        <v>1755</v>
      </c>
      <c r="L285" s="132" t="s">
        <v>1756</v>
      </c>
      <c r="M285" s="132" t="s">
        <v>1807</v>
      </c>
      <c r="N285" s="132" t="s">
        <v>1117</v>
      </c>
      <c r="O285" s="132" t="s">
        <v>1808</v>
      </c>
      <c r="P285" s="132" t="s">
        <v>1798</v>
      </c>
      <c r="Q285" s="132" t="s">
        <v>1108</v>
      </c>
    </row>
    <row r="286" spans="1:17" x14ac:dyDescent="0.2">
      <c r="A286" t="s">
        <v>150</v>
      </c>
      <c r="B286" s="141">
        <f t="shared" si="4"/>
        <v>3.13</v>
      </c>
      <c r="C286" s="280">
        <v>45608</v>
      </c>
      <c r="D286" s="279">
        <v>45609</v>
      </c>
      <c r="E286" s="279">
        <v>45610</v>
      </c>
      <c r="F286" s="132"/>
      <c r="G286" s="132" t="s">
        <v>1108</v>
      </c>
      <c r="H286" s="132" t="s">
        <v>373</v>
      </c>
      <c r="I286" s="132" t="s">
        <v>1100</v>
      </c>
      <c r="J286" s="132" t="s">
        <v>1730</v>
      </c>
      <c r="K286" s="132" t="s">
        <v>1742</v>
      </c>
      <c r="L286" s="132" t="s">
        <v>1743</v>
      </c>
      <c r="M286" s="132" t="s">
        <v>1809</v>
      </c>
      <c r="N286" s="132" t="s">
        <v>1117</v>
      </c>
      <c r="O286" s="132" t="s">
        <v>1810</v>
      </c>
      <c r="P286" s="132" t="s">
        <v>1798</v>
      </c>
      <c r="Q286" s="132" t="s">
        <v>1108</v>
      </c>
    </row>
    <row r="287" spans="1:17" x14ac:dyDescent="0.2">
      <c r="A287" t="s">
        <v>150</v>
      </c>
      <c r="B287" s="141">
        <f t="shared" si="4"/>
        <v>3.13</v>
      </c>
      <c r="C287" s="280">
        <v>45608</v>
      </c>
      <c r="D287" s="279">
        <v>45609</v>
      </c>
      <c r="E287" s="279">
        <v>45610</v>
      </c>
      <c r="F287" s="132"/>
      <c r="G287" s="132" t="s">
        <v>1108</v>
      </c>
      <c r="H287" s="132" t="s">
        <v>373</v>
      </c>
      <c r="I287" s="132" t="s">
        <v>1100</v>
      </c>
      <c r="J287" s="132" t="s">
        <v>1730</v>
      </c>
      <c r="K287" s="132" t="s">
        <v>1742</v>
      </c>
      <c r="L287" s="132" t="s">
        <v>1743</v>
      </c>
      <c r="M287" s="132" t="s">
        <v>1811</v>
      </c>
      <c r="N287" s="132" t="s">
        <v>1117</v>
      </c>
      <c r="O287" s="132" t="s">
        <v>1812</v>
      </c>
      <c r="P287" s="132" t="s">
        <v>1798</v>
      </c>
      <c r="Q287" s="132" t="s">
        <v>1108</v>
      </c>
    </row>
    <row r="288" spans="1:17" x14ac:dyDescent="0.2">
      <c r="A288" t="s">
        <v>150</v>
      </c>
      <c r="B288" s="141">
        <f t="shared" si="4"/>
        <v>3.13</v>
      </c>
      <c r="C288" s="280">
        <v>45609</v>
      </c>
      <c r="D288" s="279">
        <v>45610</v>
      </c>
      <c r="E288" s="279">
        <v>45610</v>
      </c>
      <c r="F288" s="132"/>
      <c r="G288" s="132" t="s">
        <v>1813</v>
      </c>
      <c r="H288" s="132" t="s">
        <v>373</v>
      </c>
      <c r="I288" s="132" t="s">
        <v>1100</v>
      </c>
      <c r="J288" s="132" t="s">
        <v>1730</v>
      </c>
      <c r="K288" s="132" t="s">
        <v>1742</v>
      </c>
      <c r="L288" s="132" t="s">
        <v>1743</v>
      </c>
      <c r="M288" s="132" t="s">
        <v>1814</v>
      </c>
      <c r="N288" s="132" t="s">
        <v>1105</v>
      </c>
      <c r="O288" s="132" t="s">
        <v>1815</v>
      </c>
      <c r="P288" s="132" t="s">
        <v>1798</v>
      </c>
      <c r="Q288" s="132" t="s">
        <v>1108</v>
      </c>
    </row>
    <row r="289" spans="1:17" x14ac:dyDescent="0.2">
      <c r="A289" t="s">
        <v>150</v>
      </c>
      <c r="B289" s="141">
        <f t="shared" si="4"/>
        <v>3.11</v>
      </c>
      <c r="C289" s="280">
        <v>45609</v>
      </c>
      <c r="D289" s="279">
        <v>45610</v>
      </c>
      <c r="E289" s="279">
        <v>45611</v>
      </c>
      <c r="F289" s="132"/>
      <c r="G289" s="132" t="s">
        <v>1108</v>
      </c>
      <c r="H289" s="132" t="s">
        <v>373</v>
      </c>
      <c r="I289" s="132" t="s">
        <v>1100</v>
      </c>
      <c r="J289" s="132" t="s">
        <v>1730</v>
      </c>
      <c r="K289" s="132" t="s">
        <v>1731</v>
      </c>
      <c r="L289" s="132" t="s">
        <v>1732</v>
      </c>
      <c r="M289" s="132" t="s">
        <v>1816</v>
      </c>
      <c r="N289" s="132" t="s">
        <v>1112</v>
      </c>
      <c r="O289" s="281" t="s">
        <v>1817</v>
      </c>
      <c r="P289" s="132" t="s">
        <v>1818</v>
      </c>
      <c r="Q289" s="132" t="s">
        <v>1108</v>
      </c>
    </row>
    <row r="290" spans="1:17" x14ac:dyDescent="0.2">
      <c r="A290" t="s">
        <v>150</v>
      </c>
      <c r="B290" s="141">
        <f t="shared" si="4"/>
        <v>3.13</v>
      </c>
      <c r="C290" s="280">
        <v>45609</v>
      </c>
      <c r="D290" s="279">
        <v>45610</v>
      </c>
      <c r="E290" s="279">
        <v>45611</v>
      </c>
      <c r="F290" s="132"/>
      <c r="G290" s="132" t="s">
        <v>1819</v>
      </c>
      <c r="H290" s="132" t="s">
        <v>373</v>
      </c>
      <c r="I290" s="132" t="s">
        <v>1100</v>
      </c>
      <c r="J290" s="132" t="s">
        <v>1730</v>
      </c>
      <c r="K290" s="132" t="s">
        <v>1742</v>
      </c>
      <c r="L290" s="132" t="s">
        <v>1743</v>
      </c>
      <c r="M290" s="132" t="s">
        <v>1820</v>
      </c>
      <c r="N290" s="132" t="s">
        <v>1105</v>
      </c>
      <c r="O290" s="132" t="s">
        <v>1821</v>
      </c>
      <c r="P290" s="132" t="s">
        <v>1818</v>
      </c>
      <c r="Q290" s="132" t="s">
        <v>1108</v>
      </c>
    </row>
    <row r="291" spans="1:17" x14ac:dyDescent="0.2">
      <c r="A291" t="s">
        <v>150</v>
      </c>
      <c r="B291" s="141">
        <f t="shared" si="4"/>
        <v>3.11</v>
      </c>
      <c r="C291" s="280">
        <v>45609</v>
      </c>
      <c r="D291" s="279">
        <v>45610</v>
      </c>
      <c r="E291" s="279">
        <v>45611</v>
      </c>
      <c r="F291" s="132"/>
      <c r="G291" s="132" t="s">
        <v>1108</v>
      </c>
      <c r="H291" s="132" t="s">
        <v>373</v>
      </c>
      <c r="I291" s="132" t="s">
        <v>1100</v>
      </c>
      <c r="J291" s="132" t="s">
        <v>1730</v>
      </c>
      <c r="K291" s="132" t="s">
        <v>1731</v>
      </c>
      <c r="L291" s="132" t="s">
        <v>1732</v>
      </c>
      <c r="M291" s="132" t="s">
        <v>1823</v>
      </c>
      <c r="N291" s="132" t="s">
        <v>1112</v>
      </c>
      <c r="O291" s="132" t="s">
        <v>1824</v>
      </c>
      <c r="P291" s="132" t="s">
        <v>1818</v>
      </c>
      <c r="Q291" s="132" t="s">
        <v>1108</v>
      </c>
    </row>
    <row r="292" spans="1:17" x14ac:dyDescent="0.2">
      <c r="A292" t="s">
        <v>150</v>
      </c>
      <c r="B292" s="141">
        <f t="shared" si="4"/>
        <v>3.11</v>
      </c>
      <c r="C292" s="280">
        <v>45609</v>
      </c>
      <c r="D292" s="279">
        <v>45610</v>
      </c>
      <c r="E292" s="279">
        <v>45611</v>
      </c>
      <c r="F292" s="132"/>
      <c r="G292" s="132" t="s">
        <v>1108</v>
      </c>
      <c r="H292" s="132" t="s">
        <v>373</v>
      </c>
      <c r="I292" s="132" t="s">
        <v>1100</v>
      </c>
      <c r="J292" s="132" t="s">
        <v>1730</v>
      </c>
      <c r="K292" s="132" t="s">
        <v>1731</v>
      </c>
      <c r="L292" s="132" t="s">
        <v>1732</v>
      </c>
      <c r="M292" s="132" t="s">
        <v>1825</v>
      </c>
      <c r="N292" s="132" t="s">
        <v>1112</v>
      </c>
      <c r="O292" s="132" t="s">
        <v>1826</v>
      </c>
      <c r="P292" s="132" t="s">
        <v>1818</v>
      </c>
      <c r="Q292" s="132" t="s">
        <v>1108</v>
      </c>
    </row>
    <row r="293" spans="1:17" x14ac:dyDescent="0.2">
      <c r="A293" t="s">
        <v>150</v>
      </c>
      <c r="B293" s="141">
        <f t="shared" si="4"/>
        <v>3.11</v>
      </c>
      <c r="C293" s="280">
        <v>45609</v>
      </c>
      <c r="D293" s="279">
        <v>45610</v>
      </c>
      <c r="E293" s="279">
        <v>45611</v>
      </c>
      <c r="F293" s="132"/>
      <c r="G293" s="132" t="s">
        <v>1108</v>
      </c>
      <c r="H293" s="132" t="s">
        <v>373</v>
      </c>
      <c r="I293" s="132" t="s">
        <v>1100</v>
      </c>
      <c r="J293" s="132" t="s">
        <v>1730</v>
      </c>
      <c r="K293" s="132" t="s">
        <v>1731</v>
      </c>
      <c r="L293" s="132" t="s">
        <v>1732</v>
      </c>
      <c r="M293" s="132" t="s">
        <v>1827</v>
      </c>
      <c r="N293" s="132" t="s">
        <v>1112</v>
      </c>
      <c r="O293" s="132" t="s">
        <v>1828</v>
      </c>
      <c r="P293" s="132" t="s">
        <v>1818</v>
      </c>
      <c r="Q293" s="132" t="s">
        <v>1108</v>
      </c>
    </row>
    <row r="294" spans="1:17" x14ac:dyDescent="0.2">
      <c r="A294" t="s">
        <v>150</v>
      </c>
      <c r="B294" s="141">
        <f t="shared" si="4"/>
        <v>3.11</v>
      </c>
      <c r="C294" s="280">
        <v>45609</v>
      </c>
      <c r="D294" s="279">
        <v>45610</v>
      </c>
      <c r="E294" s="279">
        <v>45611</v>
      </c>
      <c r="F294" s="132"/>
      <c r="G294" s="132" t="s">
        <v>1108</v>
      </c>
      <c r="H294" s="132" t="s">
        <v>373</v>
      </c>
      <c r="I294" s="132" t="s">
        <v>1100</v>
      </c>
      <c r="J294" s="132" t="s">
        <v>1730</v>
      </c>
      <c r="K294" s="132" t="s">
        <v>1731</v>
      </c>
      <c r="L294" s="132" t="s">
        <v>1732</v>
      </c>
      <c r="M294" s="132" t="s">
        <v>1829</v>
      </c>
      <c r="N294" s="132" t="s">
        <v>1112</v>
      </c>
      <c r="O294" s="132" t="s">
        <v>1830</v>
      </c>
      <c r="P294" s="132" t="s">
        <v>1818</v>
      </c>
      <c r="Q294" s="132" t="s">
        <v>1108</v>
      </c>
    </row>
    <row r="295" spans="1:17" x14ac:dyDescent="0.2">
      <c r="A295" t="s">
        <v>150</v>
      </c>
      <c r="B295" s="141">
        <f t="shared" si="4"/>
        <v>3.13</v>
      </c>
      <c r="C295" s="280">
        <v>45609</v>
      </c>
      <c r="D295" s="279">
        <v>45610</v>
      </c>
      <c r="E295" s="279">
        <v>45611</v>
      </c>
      <c r="F295" s="132"/>
      <c r="G295" s="132" t="s">
        <v>1504</v>
      </c>
      <c r="H295" s="132" t="s">
        <v>373</v>
      </c>
      <c r="I295" s="132" t="s">
        <v>1100</v>
      </c>
      <c r="J295" s="132" t="s">
        <v>1730</v>
      </c>
      <c r="K295" s="132" t="s">
        <v>1742</v>
      </c>
      <c r="L295" s="132" t="s">
        <v>1743</v>
      </c>
      <c r="M295" s="132" t="s">
        <v>1831</v>
      </c>
      <c r="N295" s="132" t="s">
        <v>1105</v>
      </c>
      <c r="O295" s="132" t="s">
        <v>1832</v>
      </c>
      <c r="P295" s="132" t="s">
        <v>1818</v>
      </c>
      <c r="Q295" s="132" t="s">
        <v>1108</v>
      </c>
    </row>
    <row r="296" spans="1:17" x14ac:dyDescent="0.2">
      <c r="A296" t="s">
        <v>150</v>
      </c>
      <c r="B296" s="141">
        <f t="shared" si="4"/>
        <v>3.11</v>
      </c>
      <c r="C296" s="280">
        <v>45609</v>
      </c>
      <c r="D296" s="279">
        <v>45610</v>
      </c>
      <c r="E296" s="279">
        <v>45611</v>
      </c>
      <c r="F296" s="132"/>
      <c r="G296" s="132" t="s">
        <v>1108</v>
      </c>
      <c r="H296" s="132" t="s">
        <v>373</v>
      </c>
      <c r="I296" s="132" t="s">
        <v>1100</v>
      </c>
      <c r="J296" s="132" t="s">
        <v>1730</v>
      </c>
      <c r="K296" s="132" t="s">
        <v>1731</v>
      </c>
      <c r="L296" s="132" t="s">
        <v>1732</v>
      </c>
      <c r="M296" s="132" t="s">
        <v>1833</v>
      </c>
      <c r="N296" s="132" t="s">
        <v>1112</v>
      </c>
      <c r="O296" s="132" t="s">
        <v>1834</v>
      </c>
      <c r="P296" s="132" t="s">
        <v>1818</v>
      </c>
      <c r="Q296" s="132" t="s">
        <v>1108</v>
      </c>
    </row>
    <row r="297" spans="1:17" x14ac:dyDescent="0.2">
      <c r="A297" t="s">
        <v>150</v>
      </c>
      <c r="B297" s="141">
        <f t="shared" si="4"/>
        <v>3.13</v>
      </c>
      <c r="C297" s="280">
        <v>45609</v>
      </c>
      <c r="D297" s="279">
        <v>45610</v>
      </c>
      <c r="E297" s="279">
        <v>45611</v>
      </c>
      <c r="F297" s="132"/>
      <c r="G297" s="132" t="s">
        <v>1108</v>
      </c>
      <c r="H297" s="132" t="s">
        <v>373</v>
      </c>
      <c r="I297" s="132" t="s">
        <v>1100</v>
      </c>
      <c r="J297" s="132" t="s">
        <v>1730</v>
      </c>
      <c r="K297" s="132" t="s">
        <v>1742</v>
      </c>
      <c r="L297" s="132" t="s">
        <v>1743</v>
      </c>
      <c r="M297" s="132" t="s">
        <v>1835</v>
      </c>
      <c r="N297" s="132" t="s">
        <v>1117</v>
      </c>
      <c r="O297" s="132" t="s">
        <v>1836</v>
      </c>
      <c r="P297" s="132" t="s">
        <v>1818</v>
      </c>
      <c r="Q297" s="132" t="s">
        <v>1108</v>
      </c>
    </row>
    <row r="298" spans="1:17" x14ac:dyDescent="0.2">
      <c r="A298" t="s">
        <v>150</v>
      </c>
      <c r="B298" s="141">
        <f t="shared" si="4"/>
        <v>3.13</v>
      </c>
      <c r="C298" s="280">
        <v>45609</v>
      </c>
      <c r="D298" s="279">
        <v>45610</v>
      </c>
      <c r="E298" s="279">
        <v>45611</v>
      </c>
      <c r="F298" s="132"/>
      <c r="G298" s="132" t="s">
        <v>1108</v>
      </c>
      <c r="H298" s="132" t="s">
        <v>373</v>
      </c>
      <c r="I298" s="132" t="s">
        <v>1100</v>
      </c>
      <c r="J298" s="132" t="s">
        <v>1730</v>
      </c>
      <c r="K298" s="132" t="s">
        <v>1742</v>
      </c>
      <c r="L298" s="132" t="s">
        <v>1743</v>
      </c>
      <c r="M298" s="132" t="s">
        <v>1838</v>
      </c>
      <c r="N298" s="132" t="s">
        <v>1117</v>
      </c>
      <c r="O298" s="132" t="s">
        <v>1839</v>
      </c>
      <c r="P298" s="132" t="s">
        <v>1818</v>
      </c>
      <c r="Q298" s="132" t="s">
        <v>1108</v>
      </c>
    </row>
    <row r="299" spans="1:17" x14ac:dyDescent="0.2">
      <c r="A299" t="s">
        <v>270</v>
      </c>
      <c r="B299" s="141">
        <f t="shared" si="4"/>
        <v>1.6500000000000001</v>
      </c>
      <c r="C299" s="280">
        <v>45611</v>
      </c>
      <c r="D299" s="279">
        <v>45611</v>
      </c>
      <c r="E299" s="279">
        <v>45612</v>
      </c>
      <c r="F299" s="132"/>
      <c r="G299" s="132" t="s">
        <v>1108</v>
      </c>
      <c r="H299" s="132" t="s">
        <v>373</v>
      </c>
      <c r="I299" s="132" t="s">
        <v>1100</v>
      </c>
      <c r="J299" s="132" t="s">
        <v>1840</v>
      </c>
      <c r="K299" s="132" t="s">
        <v>1841</v>
      </c>
      <c r="L299" s="132" t="s">
        <v>1842</v>
      </c>
      <c r="M299" s="132" t="s">
        <v>1843</v>
      </c>
      <c r="N299" s="132" t="s">
        <v>1112</v>
      </c>
      <c r="O299" s="132" t="s">
        <v>1844</v>
      </c>
      <c r="P299" s="132" t="s">
        <v>1845</v>
      </c>
      <c r="Q299" s="132" t="s">
        <v>1108</v>
      </c>
    </row>
    <row r="300" spans="1:17" x14ac:dyDescent="0.2">
      <c r="A300" t="s">
        <v>270</v>
      </c>
      <c r="B300" s="141">
        <f t="shared" si="4"/>
        <v>1.6500000000000001</v>
      </c>
      <c r="C300" s="280">
        <v>45611</v>
      </c>
      <c r="D300" s="279">
        <v>45611</v>
      </c>
      <c r="E300" s="279">
        <v>45612</v>
      </c>
      <c r="F300" s="132"/>
      <c r="G300" s="132" t="s">
        <v>1108</v>
      </c>
      <c r="H300" s="132" t="s">
        <v>373</v>
      </c>
      <c r="I300" s="132" t="s">
        <v>1100</v>
      </c>
      <c r="J300" s="132" t="s">
        <v>1840</v>
      </c>
      <c r="K300" s="132" t="s">
        <v>1841</v>
      </c>
      <c r="L300" s="132" t="s">
        <v>1842</v>
      </c>
      <c r="M300" s="132" t="s">
        <v>1846</v>
      </c>
      <c r="N300" s="132" t="s">
        <v>1112</v>
      </c>
      <c r="O300" s="132" t="s">
        <v>1847</v>
      </c>
      <c r="P300" s="132" t="s">
        <v>1845</v>
      </c>
      <c r="Q300" s="132" t="s">
        <v>1108</v>
      </c>
    </row>
    <row r="301" spans="1:17" x14ac:dyDescent="0.2">
      <c r="A301" t="s">
        <v>270</v>
      </c>
      <c r="B301" s="141">
        <f t="shared" si="4"/>
        <v>1.6600000000000001</v>
      </c>
      <c r="C301" s="280">
        <v>45611</v>
      </c>
      <c r="D301" s="279">
        <v>45613</v>
      </c>
      <c r="E301" s="279">
        <v>45614</v>
      </c>
      <c r="F301" s="132"/>
      <c r="G301" s="132" t="s">
        <v>1220</v>
      </c>
      <c r="H301" s="132" t="s">
        <v>373</v>
      </c>
      <c r="I301" s="132" t="s">
        <v>1100</v>
      </c>
      <c r="J301" s="132" t="s">
        <v>1840</v>
      </c>
      <c r="K301" s="132" t="s">
        <v>1848</v>
      </c>
      <c r="L301" s="132" t="s">
        <v>1849</v>
      </c>
      <c r="M301" s="132" t="s">
        <v>1850</v>
      </c>
      <c r="N301" s="132" t="s">
        <v>1105</v>
      </c>
      <c r="O301" s="132" t="s">
        <v>1851</v>
      </c>
      <c r="P301" s="132" t="s">
        <v>1852</v>
      </c>
      <c r="Q301" s="132" t="s">
        <v>1108</v>
      </c>
    </row>
    <row r="302" spans="1:17" x14ac:dyDescent="0.2">
      <c r="A302" t="s">
        <v>271</v>
      </c>
      <c r="B302" s="141">
        <f t="shared" si="4"/>
        <v>3.62</v>
      </c>
      <c r="C302" s="280">
        <v>45611</v>
      </c>
      <c r="D302" s="279">
        <v>45613</v>
      </c>
      <c r="E302" s="279">
        <v>45614</v>
      </c>
      <c r="F302" s="132"/>
      <c r="G302" s="132" t="s">
        <v>1108</v>
      </c>
      <c r="H302" s="132" t="s">
        <v>373</v>
      </c>
      <c r="I302" s="132" t="s">
        <v>1100</v>
      </c>
      <c r="J302" s="132" t="s">
        <v>1853</v>
      </c>
      <c r="K302" s="132" t="s">
        <v>1731</v>
      </c>
      <c r="L302" s="132" t="s">
        <v>1854</v>
      </c>
      <c r="M302" s="132" t="s">
        <v>1855</v>
      </c>
      <c r="N302" s="132" t="s">
        <v>1117</v>
      </c>
      <c r="O302" s="132" t="s">
        <v>1856</v>
      </c>
      <c r="P302" s="132" t="s">
        <v>1852</v>
      </c>
      <c r="Q302" s="132" t="s">
        <v>1108</v>
      </c>
    </row>
    <row r="303" spans="1:17" x14ac:dyDescent="0.2">
      <c r="A303" t="s">
        <v>270</v>
      </c>
      <c r="B303" s="141">
        <f t="shared" si="4"/>
        <v>1.6600000000000001</v>
      </c>
      <c r="C303" s="280">
        <v>45611</v>
      </c>
      <c r="D303" s="279">
        <v>45613</v>
      </c>
      <c r="E303" s="279">
        <v>45614</v>
      </c>
      <c r="F303" s="132"/>
      <c r="G303" s="132" t="s">
        <v>1166</v>
      </c>
      <c r="H303" s="132" t="s">
        <v>373</v>
      </c>
      <c r="I303" s="132" t="s">
        <v>1100</v>
      </c>
      <c r="J303" s="132" t="s">
        <v>1840</v>
      </c>
      <c r="K303" s="132" t="s">
        <v>1848</v>
      </c>
      <c r="L303" s="132" t="s">
        <v>1849</v>
      </c>
      <c r="M303" s="132" t="s">
        <v>1857</v>
      </c>
      <c r="N303" s="132" t="s">
        <v>1105</v>
      </c>
      <c r="O303" s="132" t="s">
        <v>1858</v>
      </c>
      <c r="P303" s="132" t="s">
        <v>1852</v>
      </c>
      <c r="Q303" s="132" t="s">
        <v>1108</v>
      </c>
    </row>
    <row r="304" spans="1:17" x14ac:dyDescent="0.2">
      <c r="A304" t="s">
        <v>270</v>
      </c>
      <c r="B304" s="141">
        <f t="shared" si="4"/>
        <v>1.6600000000000001</v>
      </c>
      <c r="C304" s="280">
        <v>45611</v>
      </c>
      <c r="D304" s="279">
        <v>45613</v>
      </c>
      <c r="E304" s="279">
        <v>45614</v>
      </c>
      <c r="F304" s="132"/>
      <c r="G304" s="132" t="s">
        <v>1229</v>
      </c>
      <c r="H304" s="132" t="s">
        <v>373</v>
      </c>
      <c r="I304" s="132" t="s">
        <v>1100</v>
      </c>
      <c r="J304" s="132" t="s">
        <v>1840</v>
      </c>
      <c r="K304" s="132" t="s">
        <v>1848</v>
      </c>
      <c r="L304" s="132" t="s">
        <v>1849</v>
      </c>
      <c r="M304" s="132" t="s">
        <v>1859</v>
      </c>
      <c r="N304" s="132" t="s">
        <v>1105</v>
      </c>
      <c r="O304" s="132" t="s">
        <v>1860</v>
      </c>
      <c r="P304" s="132" t="s">
        <v>1852</v>
      </c>
      <c r="Q304" s="132" t="s">
        <v>1108</v>
      </c>
    </row>
    <row r="305" spans="1:17" x14ac:dyDescent="0.2">
      <c r="A305" t="s">
        <v>271</v>
      </c>
      <c r="B305" s="141">
        <f t="shared" si="4"/>
        <v>3.62</v>
      </c>
      <c r="C305" s="280">
        <v>45612</v>
      </c>
      <c r="D305" s="279">
        <v>45613</v>
      </c>
      <c r="E305" s="279">
        <v>45614</v>
      </c>
      <c r="F305" s="132"/>
      <c r="G305" s="132" t="s">
        <v>1406</v>
      </c>
      <c r="H305" s="132" t="s">
        <v>373</v>
      </c>
      <c r="I305" s="132" t="s">
        <v>1100</v>
      </c>
      <c r="J305" s="132" t="s">
        <v>1853</v>
      </c>
      <c r="K305" s="132" t="s">
        <v>1731</v>
      </c>
      <c r="L305" s="132" t="s">
        <v>1854</v>
      </c>
      <c r="M305" s="132" t="s">
        <v>1861</v>
      </c>
      <c r="N305" s="132" t="s">
        <v>1105</v>
      </c>
      <c r="O305" s="132" t="s">
        <v>1862</v>
      </c>
      <c r="P305" s="132" t="s">
        <v>1852</v>
      </c>
      <c r="Q305" s="132" t="s">
        <v>1108</v>
      </c>
    </row>
    <row r="306" spans="1:17" x14ac:dyDescent="0.2">
      <c r="A306" t="s">
        <v>270</v>
      </c>
      <c r="B306" s="141">
        <f t="shared" si="4"/>
        <v>1.6600000000000001</v>
      </c>
      <c r="C306" s="280">
        <v>45612</v>
      </c>
      <c r="D306" s="279">
        <v>45613</v>
      </c>
      <c r="E306" s="279">
        <v>45614</v>
      </c>
      <c r="F306" s="132"/>
      <c r="G306" s="132" t="s">
        <v>1863</v>
      </c>
      <c r="H306" s="132" t="s">
        <v>373</v>
      </c>
      <c r="I306" s="132" t="s">
        <v>1100</v>
      </c>
      <c r="J306" s="132" t="s">
        <v>1840</v>
      </c>
      <c r="K306" s="132" t="s">
        <v>1848</v>
      </c>
      <c r="L306" s="132" t="s">
        <v>1849</v>
      </c>
      <c r="M306" s="132" t="s">
        <v>1864</v>
      </c>
      <c r="N306" s="132" t="s">
        <v>1105</v>
      </c>
      <c r="O306" s="132" t="s">
        <v>1865</v>
      </c>
      <c r="P306" s="132" t="s">
        <v>1852</v>
      </c>
      <c r="Q306" s="132" t="s">
        <v>1108</v>
      </c>
    </row>
    <row r="307" spans="1:17" x14ac:dyDescent="0.2">
      <c r="A307" t="s">
        <v>270</v>
      </c>
      <c r="B307" s="141">
        <f t="shared" si="4"/>
        <v>1.6600000000000001</v>
      </c>
      <c r="C307" s="280">
        <v>45612</v>
      </c>
      <c r="D307" s="279">
        <v>45613</v>
      </c>
      <c r="E307" s="279">
        <v>45614</v>
      </c>
      <c r="F307" s="132"/>
      <c r="G307" s="132" t="s">
        <v>1108</v>
      </c>
      <c r="H307" s="132" t="s">
        <v>373</v>
      </c>
      <c r="I307" s="132" t="s">
        <v>1100</v>
      </c>
      <c r="J307" s="132" t="s">
        <v>1840</v>
      </c>
      <c r="K307" s="132" t="s">
        <v>1848</v>
      </c>
      <c r="L307" s="132" t="s">
        <v>1849</v>
      </c>
      <c r="M307" s="132" t="s">
        <v>1866</v>
      </c>
      <c r="N307" s="132" t="s">
        <v>1117</v>
      </c>
      <c r="O307" s="132" t="s">
        <v>1867</v>
      </c>
      <c r="P307" s="132" t="s">
        <v>1852</v>
      </c>
      <c r="Q307" s="132" t="s">
        <v>1108</v>
      </c>
    </row>
    <row r="308" spans="1:17" x14ac:dyDescent="0.2">
      <c r="A308" t="s">
        <v>271</v>
      </c>
      <c r="B308" s="141">
        <f t="shared" si="4"/>
        <v>3.62</v>
      </c>
      <c r="C308" s="280">
        <v>45612</v>
      </c>
      <c r="D308" s="279">
        <v>45613</v>
      </c>
      <c r="E308" s="279">
        <v>45614</v>
      </c>
      <c r="F308" s="132"/>
      <c r="G308" s="132" t="s">
        <v>1869</v>
      </c>
      <c r="H308" s="132" t="s">
        <v>373</v>
      </c>
      <c r="I308" s="132" t="s">
        <v>1100</v>
      </c>
      <c r="J308" s="132" t="s">
        <v>1853</v>
      </c>
      <c r="K308" s="132" t="s">
        <v>1731</v>
      </c>
      <c r="L308" s="132" t="s">
        <v>1854</v>
      </c>
      <c r="M308" s="132" t="s">
        <v>1870</v>
      </c>
      <c r="N308" s="132" t="s">
        <v>1105</v>
      </c>
      <c r="O308" s="132" t="s">
        <v>1871</v>
      </c>
      <c r="P308" s="132" t="s">
        <v>1852</v>
      </c>
      <c r="Q308" s="132" t="s">
        <v>1108</v>
      </c>
    </row>
    <row r="309" spans="1:17" x14ac:dyDescent="0.2">
      <c r="A309" t="s">
        <v>270</v>
      </c>
      <c r="B309" s="141">
        <f t="shared" si="4"/>
        <v>1.6600000000000001</v>
      </c>
      <c r="C309" s="280">
        <v>45612</v>
      </c>
      <c r="D309" s="279">
        <v>45613</v>
      </c>
      <c r="E309" s="279">
        <v>45614</v>
      </c>
      <c r="F309" s="132"/>
      <c r="G309" s="132" t="s">
        <v>1108</v>
      </c>
      <c r="H309" s="132" t="s">
        <v>373</v>
      </c>
      <c r="I309" s="132" t="s">
        <v>1100</v>
      </c>
      <c r="J309" s="132" t="s">
        <v>1840</v>
      </c>
      <c r="K309" s="132" t="s">
        <v>1848</v>
      </c>
      <c r="L309" s="132" t="s">
        <v>1849</v>
      </c>
      <c r="M309" s="132" t="s">
        <v>1872</v>
      </c>
      <c r="N309" s="132" t="s">
        <v>1117</v>
      </c>
      <c r="O309" s="132" t="s">
        <v>1873</v>
      </c>
      <c r="P309" s="132" t="s">
        <v>1852</v>
      </c>
      <c r="Q309" s="132" t="s">
        <v>1108</v>
      </c>
    </row>
    <row r="310" spans="1:17" x14ac:dyDescent="0.2">
      <c r="A310" t="s">
        <v>270</v>
      </c>
      <c r="B310" s="141">
        <f t="shared" si="4"/>
        <v>1.6500000000000001</v>
      </c>
      <c r="C310" s="280">
        <v>45611</v>
      </c>
      <c r="D310" s="279">
        <v>45614</v>
      </c>
      <c r="E310" s="279">
        <v>45615</v>
      </c>
      <c r="F310" s="132"/>
      <c r="G310" s="132" t="s">
        <v>1108</v>
      </c>
      <c r="H310" s="132" t="s">
        <v>373</v>
      </c>
      <c r="I310" s="132" t="s">
        <v>1100</v>
      </c>
      <c r="J310" s="132" t="s">
        <v>1840</v>
      </c>
      <c r="K310" s="132" t="s">
        <v>1841</v>
      </c>
      <c r="L310" s="132" t="s">
        <v>1842</v>
      </c>
      <c r="M310" s="132" t="s">
        <v>1874</v>
      </c>
      <c r="N310" s="132" t="s">
        <v>1112</v>
      </c>
      <c r="O310" s="132" t="s">
        <v>1875</v>
      </c>
      <c r="P310" s="132" t="s">
        <v>1876</v>
      </c>
      <c r="Q310" s="132" t="s">
        <v>1108</v>
      </c>
    </row>
    <row r="311" spans="1:17" x14ac:dyDescent="0.2">
      <c r="A311" t="s">
        <v>270</v>
      </c>
      <c r="B311" s="141">
        <f t="shared" ref="B311:B374" si="5">_xlfn.NUMBERVALUE(L311)*0.01</f>
        <v>1.6500000000000001</v>
      </c>
      <c r="C311" s="280">
        <v>45611</v>
      </c>
      <c r="D311" s="279">
        <v>45614</v>
      </c>
      <c r="E311" s="279">
        <v>45615</v>
      </c>
      <c r="F311" s="132"/>
      <c r="G311" s="132" t="s">
        <v>1108</v>
      </c>
      <c r="H311" s="132" t="s">
        <v>373</v>
      </c>
      <c r="I311" s="132" t="s">
        <v>1100</v>
      </c>
      <c r="J311" s="132" t="s">
        <v>1840</v>
      </c>
      <c r="K311" s="132" t="s">
        <v>1841</v>
      </c>
      <c r="L311" s="132" t="s">
        <v>1842</v>
      </c>
      <c r="M311" s="132" t="s">
        <v>1877</v>
      </c>
      <c r="N311" s="132" t="s">
        <v>1112</v>
      </c>
      <c r="O311" s="132" t="s">
        <v>1878</v>
      </c>
      <c r="P311" s="132" t="s">
        <v>1876</v>
      </c>
      <c r="Q311" s="132" t="s">
        <v>1108</v>
      </c>
    </row>
    <row r="312" spans="1:17" x14ac:dyDescent="0.2">
      <c r="A312" t="s">
        <v>270</v>
      </c>
      <c r="B312" s="141">
        <f t="shared" si="5"/>
        <v>1.6500000000000001</v>
      </c>
      <c r="C312" s="280">
        <v>45612</v>
      </c>
      <c r="D312" s="279">
        <v>45614</v>
      </c>
      <c r="E312" s="279">
        <v>45615</v>
      </c>
      <c r="F312" s="132"/>
      <c r="G312" s="132" t="s">
        <v>1108</v>
      </c>
      <c r="H312" s="132" t="s">
        <v>373</v>
      </c>
      <c r="I312" s="132" t="s">
        <v>1100</v>
      </c>
      <c r="J312" s="132" t="s">
        <v>1840</v>
      </c>
      <c r="K312" s="132" t="s">
        <v>1841</v>
      </c>
      <c r="L312" s="132" t="s">
        <v>1842</v>
      </c>
      <c r="M312" s="132" t="s">
        <v>1879</v>
      </c>
      <c r="N312" s="132" t="s">
        <v>1112</v>
      </c>
      <c r="O312" s="132" t="s">
        <v>1880</v>
      </c>
      <c r="P312" s="132" t="s">
        <v>1876</v>
      </c>
      <c r="Q312" s="132" t="s">
        <v>1108</v>
      </c>
    </row>
    <row r="313" spans="1:17" x14ac:dyDescent="0.2">
      <c r="A313" t="s">
        <v>270</v>
      </c>
      <c r="B313" s="141">
        <f t="shared" si="5"/>
        <v>1.6500000000000001</v>
      </c>
      <c r="C313" s="280">
        <v>45612</v>
      </c>
      <c r="D313" s="279">
        <v>45614</v>
      </c>
      <c r="E313" s="279">
        <v>45615</v>
      </c>
      <c r="F313" s="132"/>
      <c r="G313" s="132" t="s">
        <v>1108</v>
      </c>
      <c r="H313" s="132" t="s">
        <v>373</v>
      </c>
      <c r="I313" s="132" t="s">
        <v>1100</v>
      </c>
      <c r="J313" s="132" t="s">
        <v>1840</v>
      </c>
      <c r="K313" s="132" t="s">
        <v>1841</v>
      </c>
      <c r="L313" s="132" t="s">
        <v>1842</v>
      </c>
      <c r="M313" s="132" t="s">
        <v>1881</v>
      </c>
      <c r="N313" s="132" t="s">
        <v>1112</v>
      </c>
      <c r="O313" s="132" t="s">
        <v>1882</v>
      </c>
      <c r="P313" s="132" t="s">
        <v>1876</v>
      </c>
      <c r="Q313" s="132" t="s">
        <v>1108</v>
      </c>
    </row>
    <row r="314" spans="1:17" x14ac:dyDescent="0.2">
      <c r="A314" t="s">
        <v>270</v>
      </c>
      <c r="B314" s="141">
        <f t="shared" si="5"/>
        <v>1.6500000000000001</v>
      </c>
      <c r="C314" s="280">
        <v>45612</v>
      </c>
      <c r="D314" s="279">
        <v>45614</v>
      </c>
      <c r="E314" s="279">
        <v>45615</v>
      </c>
      <c r="F314" s="132"/>
      <c r="G314" s="132" t="s">
        <v>1108</v>
      </c>
      <c r="H314" s="132" t="s">
        <v>373</v>
      </c>
      <c r="I314" s="132" t="s">
        <v>1100</v>
      </c>
      <c r="J314" s="132" t="s">
        <v>1840</v>
      </c>
      <c r="K314" s="132" t="s">
        <v>1841</v>
      </c>
      <c r="L314" s="132" t="s">
        <v>1842</v>
      </c>
      <c r="M314" s="132" t="s">
        <v>1883</v>
      </c>
      <c r="N314" s="132" t="s">
        <v>1112</v>
      </c>
      <c r="O314" s="132" t="s">
        <v>1884</v>
      </c>
      <c r="P314" s="132" t="s">
        <v>1876</v>
      </c>
      <c r="Q314" s="132" t="s">
        <v>1108</v>
      </c>
    </row>
    <row r="315" spans="1:17" x14ac:dyDescent="0.2">
      <c r="A315" t="s">
        <v>270</v>
      </c>
      <c r="B315" s="141">
        <f t="shared" si="5"/>
        <v>1.6500000000000001</v>
      </c>
      <c r="C315" s="280">
        <v>45613</v>
      </c>
      <c r="D315" s="279">
        <v>45614</v>
      </c>
      <c r="E315" s="279">
        <v>45615</v>
      </c>
      <c r="F315" s="132"/>
      <c r="G315" s="132" t="s">
        <v>1108</v>
      </c>
      <c r="H315" s="132" t="s">
        <v>373</v>
      </c>
      <c r="I315" s="132" t="s">
        <v>1100</v>
      </c>
      <c r="J315" s="132" t="s">
        <v>1840</v>
      </c>
      <c r="K315" s="132" t="s">
        <v>1841</v>
      </c>
      <c r="L315" s="132" t="s">
        <v>1842</v>
      </c>
      <c r="M315" s="132" t="s">
        <v>1885</v>
      </c>
      <c r="N315" s="132" t="s">
        <v>1112</v>
      </c>
      <c r="O315" s="132" t="s">
        <v>1886</v>
      </c>
      <c r="P315" s="132" t="s">
        <v>1876</v>
      </c>
      <c r="Q315" s="132" t="s">
        <v>1108</v>
      </c>
    </row>
    <row r="316" spans="1:17" x14ac:dyDescent="0.2">
      <c r="A316" t="s">
        <v>270</v>
      </c>
      <c r="B316" s="141">
        <f t="shared" si="5"/>
        <v>1.6500000000000001</v>
      </c>
      <c r="C316" s="280">
        <v>45613</v>
      </c>
      <c r="D316" s="279">
        <v>45614</v>
      </c>
      <c r="E316" s="279">
        <v>45615</v>
      </c>
      <c r="F316" s="132"/>
      <c r="G316" s="132" t="s">
        <v>1108</v>
      </c>
      <c r="H316" s="132" t="s">
        <v>373</v>
      </c>
      <c r="I316" s="132" t="s">
        <v>1100</v>
      </c>
      <c r="J316" s="132" t="s">
        <v>1840</v>
      </c>
      <c r="K316" s="132" t="s">
        <v>1841</v>
      </c>
      <c r="L316" s="132" t="s">
        <v>1842</v>
      </c>
      <c r="M316" s="132" t="s">
        <v>1887</v>
      </c>
      <c r="N316" s="132" t="s">
        <v>1112</v>
      </c>
      <c r="O316" s="132" t="s">
        <v>1888</v>
      </c>
      <c r="P316" s="132" t="s">
        <v>1876</v>
      </c>
      <c r="Q316" s="132" t="s">
        <v>1108</v>
      </c>
    </row>
    <row r="317" spans="1:17" x14ac:dyDescent="0.2">
      <c r="A317" t="s">
        <v>245</v>
      </c>
      <c r="B317" s="141">
        <f t="shared" si="5"/>
        <v>1.6600000000000001</v>
      </c>
      <c r="C317" s="280">
        <v>45614</v>
      </c>
      <c r="D317" s="279">
        <v>45615</v>
      </c>
      <c r="E317" s="279">
        <v>45615</v>
      </c>
      <c r="F317" s="132"/>
      <c r="G317" s="132" t="s">
        <v>1863</v>
      </c>
      <c r="H317" s="132" t="s">
        <v>373</v>
      </c>
      <c r="I317" s="132" t="s">
        <v>1100</v>
      </c>
      <c r="J317" s="132" t="s">
        <v>1840</v>
      </c>
      <c r="K317" s="132" t="s">
        <v>1848</v>
      </c>
      <c r="L317" s="132" t="s">
        <v>1849</v>
      </c>
      <c r="M317" s="132" t="s">
        <v>1889</v>
      </c>
      <c r="N317" s="132" t="s">
        <v>1105</v>
      </c>
      <c r="O317" s="132" t="s">
        <v>1890</v>
      </c>
      <c r="P317" s="132" t="s">
        <v>1876</v>
      </c>
      <c r="Q317" s="132" t="s">
        <v>1108</v>
      </c>
    </row>
    <row r="318" spans="1:17" x14ac:dyDescent="0.2">
      <c r="A318" t="s">
        <v>270</v>
      </c>
      <c r="B318" s="141">
        <f t="shared" si="5"/>
        <v>1.6500000000000001</v>
      </c>
      <c r="C318" s="280">
        <v>45614</v>
      </c>
      <c r="D318" s="279">
        <v>45614</v>
      </c>
      <c r="E318" s="279">
        <v>45615</v>
      </c>
      <c r="F318" s="132"/>
      <c r="G318" s="132" t="s">
        <v>1108</v>
      </c>
      <c r="H318" s="132" t="s">
        <v>373</v>
      </c>
      <c r="I318" s="132" t="s">
        <v>1100</v>
      </c>
      <c r="J318" s="132" t="s">
        <v>1840</v>
      </c>
      <c r="K318" s="132" t="s">
        <v>1841</v>
      </c>
      <c r="L318" s="132" t="s">
        <v>1842</v>
      </c>
      <c r="M318" s="132" t="s">
        <v>1891</v>
      </c>
      <c r="N318" s="132" t="s">
        <v>1112</v>
      </c>
      <c r="O318" s="132" t="s">
        <v>1892</v>
      </c>
      <c r="P318" s="132" t="s">
        <v>1876</v>
      </c>
      <c r="Q318" s="132" t="s">
        <v>1108</v>
      </c>
    </row>
    <row r="319" spans="1:17" x14ac:dyDescent="0.2">
      <c r="A319" t="s">
        <v>270</v>
      </c>
      <c r="B319" s="141">
        <f t="shared" si="5"/>
        <v>1.6600000000000001</v>
      </c>
      <c r="C319" s="280">
        <v>45614</v>
      </c>
      <c r="D319" s="279">
        <v>45615</v>
      </c>
      <c r="E319" s="279">
        <v>45616</v>
      </c>
      <c r="F319" s="132"/>
      <c r="G319" s="132" t="s">
        <v>1466</v>
      </c>
      <c r="H319" s="132" t="s">
        <v>373</v>
      </c>
      <c r="I319" s="132" t="s">
        <v>1100</v>
      </c>
      <c r="J319" s="132" t="s">
        <v>1840</v>
      </c>
      <c r="K319" s="132" t="s">
        <v>1848</v>
      </c>
      <c r="L319" s="132" t="s">
        <v>1849</v>
      </c>
      <c r="M319" s="132" t="s">
        <v>1893</v>
      </c>
      <c r="N319" s="132" t="s">
        <v>1105</v>
      </c>
      <c r="O319" s="132" t="s">
        <v>1894</v>
      </c>
      <c r="P319" s="132" t="s">
        <v>1895</v>
      </c>
      <c r="Q319" s="132" t="s">
        <v>1108</v>
      </c>
    </row>
    <row r="320" spans="1:17" x14ac:dyDescent="0.2">
      <c r="A320" t="s">
        <v>245</v>
      </c>
      <c r="B320" s="141">
        <f t="shared" si="5"/>
        <v>1.6500000000000001</v>
      </c>
      <c r="C320" s="280">
        <v>45614</v>
      </c>
      <c r="D320" s="279">
        <v>45615</v>
      </c>
      <c r="E320" s="279">
        <v>45616</v>
      </c>
      <c r="F320" s="132"/>
      <c r="G320" s="132" t="s">
        <v>1108</v>
      </c>
      <c r="H320" s="132" t="s">
        <v>373</v>
      </c>
      <c r="I320" s="132" t="s">
        <v>1100</v>
      </c>
      <c r="J320" s="132" t="s">
        <v>1840</v>
      </c>
      <c r="K320" s="132" t="s">
        <v>1841</v>
      </c>
      <c r="L320" s="132" t="s">
        <v>1842</v>
      </c>
      <c r="M320" s="132" t="s">
        <v>1896</v>
      </c>
      <c r="N320" s="132" t="s">
        <v>1112</v>
      </c>
      <c r="O320" s="132" t="s">
        <v>1897</v>
      </c>
      <c r="P320" s="132" t="s">
        <v>1895</v>
      </c>
      <c r="Q320" s="132" t="s">
        <v>1108</v>
      </c>
    </row>
    <row r="321" spans="1:17" x14ac:dyDescent="0.2">
      <c r="A321" t="s">
        <v>270</v>
      </c>
      <c r="B321" s="141">
        <f t="shared" si="5"/>
        <v>1.6600000000000001</v>
      </c>
      <c r="C321" s="280">
        <v>45614</v>
      </c>
      <c r="D321" s="279">
        <v>45615</v>
      </c>
      <c r="E321" s="279">
        <v>45616</v>
      </c>
      <c r="F321" s="132"/>
      <c r="G321" s="132" t="s">
        <v>1383</v>
      </c>
      <c r="H321" s="132" t="s">
        <v>373</v>
      </c>
      <c r="I321" s="132" t="s">
        <v>1100</v>
      </c>
      <c r="J321" s="132" t="s">
        <v>1840</v>
      </c>
      <c r="K321" s="132" t="s">
        <v>1848</v>
      </c>
      <c r="L321" s="132" t="s">
        <v>1849</v>
      </c>
      <c r="M321" s="132" t="s">
        <v>1898</v>
      </c>
      <c r="N321" s="132" t="s">
        <v>1105</v>
      </c>
      <c r="O321" s="132" t="s">
        <v>1899</v>
      </c>
      <c r="P321" s="132" t="s">
        <v>1895</v>
      </c>
      <c r="Q321" s="132" t="s">
        <v>1108</v>
      </c>
    </row>
    <row r="322" spans="1:17" x14ac:dyDescent="0.2">
      <c r="A322" t="s">
        <v>270</v>
      </c>
      <c r="B322" s="141">
        <f t="shared" si="5"/>
        <v>1.6600000000000001</v>
      </c>
      <c r="C322" s="280">
        <v>45614</v>
      </c>
      <c r="D322" s="279">
        <v>45615</v>
      </c>
      <c r="E322" s="279">
        <v>45616</v>
      </c>
      <c r="F322" s="132"/>
      <c r="G322" s="132" t="s">
        <v>1108</v>
      </c>
      <c r="H322" s="132" t="s">
        <v>373</v>
      </c>
      <c r="I322" s="132" t="s">
        <v>1100</v>
      </c>
      <c r="J322" s="132" t="s">
        <v>1840</v>
      </c>
      <c r="K322" s="132" t="s">
        <v>1848</v>
      </c>
      <c r="L322" s="132" t="s">
        <v>1849</v>
      </c>
      <c r="M322" s="132" t="s">
        <v>1900</v>
      </c>
      <c r="N322" s="132" t="s">
        <v>1117</v>
      </c>
      <c r="O322" s="132" t="s">
        <v>1901</v>
      </c>
      <c r="P322" s="132" t="s">
        <v>1895</v>
      </c>
      <c r="Q322" s="132" t="s">
        <v>1108</v>
      </c>
    </row>
    <row r="323" spans="1:17" x14ac:dyDescent="0.2">
      <c r="A323" t="s">
        <v>270</v>
      </c>
      <c r="B323" s="141">
        <f t="shared" si="5"/>
        <v>1.6600000000000001</v>
      </c>
      <c r="C323" s="280">
        <v>45614</v>
      </c>
      <c r="D323" s="279">
        <v>45615</v>
      </c>
      <c r="E323" s="279">
        <v>45616</v>
      </c>
      <c r="F323" s="132"/>
      <c r="G323" s="132" t="s">
        <v>1303</v>
      </c>
      <c r="H323" s="132" t="s">
        <v>373</v>
      </c>
      <c r="I323" s="132" t="s">
        <v>1100</v>
      </c>
      <c r="J323" s="132" t="s">
        <v>1840</v>
      </c>
      <c r="K323" s="132" t="s">
        <v>1848</v>
      </c>
      <c r="L323" s="132" t="s">
        <v>1849</v>
      </c>
      <c r="M323" s="132" t="s">
        <v>1902</v>
      </c>
      <c r="N323" s="132" t="s">
        <v>1105</v>
      </c>
      <c r="O323" s="132" t="s">
        <v>1903</v>
      </c>
      <c r="P323" s="132" t="s">
        <v>1895</v>
      </c>
      <c r="Q323" s="132" t="s">
        <v>1108</v>
      </c>
    </row>
    <row r="324" spans="1:17" x14ac:dyDescent="0.2">
      <c r="A324" t="s">
        <v>245</v>
      </c>
      <c r="B324" s="141">
        <f t="shared" si="5"/>
        <v>1.6600000000000001</v>
      </c>
      <c r="C324" s="280">
        <v>45614</v>
      </c>
      <c r="D324" s="279">
        <v>45615</v>
      </c>
      <c r="E324" s="279">
        <v>45616</v>
      </c>
      <c r="F324" s="132"/>
      <c r="G324" s="132" t="s">
        <v>1665</v>
      </c>
      <c r="H324" s="132" t="s">
        <v>373</v>
      </c>
      <c r="I324" s="132" t="s">
        <v>1100</v>
      </c>
      <c r="J324" s="132" t="s">
        <v>1840</v>
      </c>
      <c r="K324" s="132" t="s">
        <v>1848</v>
      </c>
      <c r="L324" s="132" t="s">
        <v>1849</v>
      </c>
      <c r="M324" s="132" t="s">
        <v>1904</v>
      </c>
      <c r="N324" s="132" t="s">
        <v>1105</v>
      </c>
      <c r="O324" s="132" t="s">
        <v>1905</v>
      </c>
      <c r="P324" s="132" t="s">
        <v>1895</v>
      </c>
      <c r="Q324" s="132" t="s">
        <v>1108</v>
      </c>
    </row>
    <row r="325" spans="1:17" x14ac:dyDescent="0.2">
      <c r="A325" t="s">
        <v>245</v>
      </c>
      <c r="B325" s="141">
        <f t="shared" si="5"/>
        <v>1.6500000000000001</v>
      </c>
      <c r="C325" s="280">
        <v>45614</v>
      </c>
      <c r="D325" s="279">
        <v>45615</v>
      </c>
      <c r="E325" s="279">
        <v>45616</v>
      </c>
      <c r="F325" s="132"/>
      <c r="G325" s="132" t="s">
        <v>1108</v>
      </c>
      <c r="H325" s="132" t="s">
        <v>373</v>
      </c>
      <c r="I325" s="132" t="s">
        <v>1100</v>
      </c>
      <c r="J325" s="132" t="s">
        <v>1840</v>
      </c>
      <c r="K325" s="132" t="s">
        <v>1841</v>
      </c>
      <c r="L325" s="132" t="s">
        <v>1842</v>
      </c>
      <c r="M325" s="132" t="s">
        <v>1906</v>
      </c>
      <c r="N325" s="132" t="s">
        <v>1112</v>
      </c>
      <c r="O325" s="132" t="s">
        <v>1907</v>
      </c>
      <c r="P325" s="132" t="s">
        <v>1895</v>
      </c>
      <c r="Q325" s="132" t="s">
        <v>1108</v>
      </c>
    </row>
    <row r="326" spans="1:17" x14ac:dyDescent="0.2">
      <c r="A326" t="s">
        <v>270</v>
      </c>
      <c r="B326" s="141">
        <f t="shared" si="5"/>
        <v>1.6600000000000001</v>
      </c>
      <c r="C326" s="280">
        <v>45614</v>
      </c>
      <c r="D326" s="279">
        <v>45615</v>
      </c>
      <c r="E326" s="279">
        <v>45616</v>
      </c>
      <c r="F326" s="132"/>
      <c r="G326" s="132" t="s">
        <v>1108</v>
      </c>
      <c r="H326" s="132" t="s">
        <v>373</v>
      </c>
      <c r="I326" s="132" t="s">
        <v>1100</v>
      </c>
      <c r="J326" s="132" t="s">
        <v>1840</v>
      </c>
      <c r="K326" s="132" t="s">
        <v>1848</v>
      </c>
      <c r="L326" s="132" t="s">
        <v>1849</v>
      </c>
      <c r="M326" s="132" t="s">
        <v>1908</v>
      </c>
      <c r="N326" s="132" t="s">
        <v>1117</v>
      </c>
      <c r="O326" s="132" t="s">
        <v>1909</v>
      </c>
      <c r="P326" s="132" t="s">
        <v>1895</v>
      </c>
      <c r="Q326" s="132" t="s">
        <v>1108</v>
      </c>
    </row>
    <row r="327" spans="1:17" x14ac:dyDescent="0.2">
      <c r="A327" t="s">
        <v>270</v>
      </c>
      <c r="B327" s="141">
        <f t="shared" si="5"/>
        <v>1.6600000000000001</v>
      </c>
      <c r="C327" s="280">
        <v>45615</v>
      </c>
      <c r="D327" s="279">
        <v>45617</v>
      </c>
      <c r="E327" s="279">
        <v>45617</v>
      </c>
      <c r="F327" s="132"/>
      <c r="G327" s="132" t="s">
        <v>1910</v>
      </c>
      <c r="H327" s="132" t="s">
        <v>373</v>
      </c>
      <c r="I327" s="132" t="s">
        <v>1100</v>
      </c>
      <c r="J327" s="132" t="s">
        <v>1840</v>
      </c>
      <c r="K327" s="132" t="s">
        <v>1848</v>
      </c>
      <c r="L327" s="132" t="s">
        <v>1849</v>
      </c>
      <c r="M327" s="132" t="s">
        <v>1911</v>
      </c>
      <c r="N327" s="132" t="s">
        <v>1105</v>
      </c>
      <c r="O327" s="132" t="s">
        <v>1912</v>
      </c>
      <c r="P327" s="132" t="s">
        <v>1913</v>
      </c>
      <c r="Q327" s="132" t="s">
        <v>1108</v>
      </c>
    </row>
    <row r="328" spans="1:17" x14ac:dyDescent="0.2">
      <c r="A328" t="s">
        <v>270</v>
      </c>
      <c r="B328" s="141">
        <f t="shared" si="5"/>
        <v>1.6600000000000001</v>
      </c>
      <c r="C328" s="280">
        <v>45615</v>
      </c>
      <c r="D328" s="279">
        <v>45617</v>
      </c>
      <c r="E328" s="279">
        <v>45617</v>
      </c>
      <c r="F328" s="132"/>
      <c r="G328" s="132" t="s">
        <v>1914</v>
      </c>
      <c r="H328" s="132" t="s">
        <v>373</v>
      </c>
      <c r="I328" s="132" t="s">
        <v>1100</v>
      </c>
      <c r="J328" s="132" t="s">
        <v>1840</v>
      </c>
      <c r="K328" s="132" t="s">
        <v>1848</v>
      </c>
      <c r="L328" s="132" t="s">
        <v>1849</v>
      </c>
      <c r="M328" s="132" t="s">
        <v>1915</v>
      </c>
      <c r="N328" s="132" t="s">
        <v>1105</v>
      </c>
      <c r="O328" s="132" t="s">
        <v>1916</v>
      </c>
      <c r="P328" s="132" t="s">
        <v>1913</v>
      </c>
      <c r="Q328" s="132" t="s">
        <v>1108</v>
      </c>
    </row>
    <row r="329" spans="1:17" x14ac:dyDescent="0.2">
      <c r="A329" t="s">
        <v>270</v>
      </c>
      <c r="B329" s="141">
        <f t="shared" si="5"/>
        <v>1.6500000000000001</v>
      </c>
      <c r="C329" s="280">
        <v>45615</v>
      </c>
      <c r="D329" s="279">
        <v>45616</v>
      </c>
      <c r="E329" s="279">
        <v>45617</v>
      </c>
      <c r="F329" s="132"/>
      <c r="G329" s="132" t="s">
        <v>1108</v>
      </c>
      <c r="H329" s="132" t="s">
        <v>373</v>
      </c>
      <c r="I329" s="132" t="s">
        <v>1100</v>
      </c>
      <c r="J329" s="132" t="s">
        <v>1840</v>
      </c>
      <c r="K329" s="132" t="s">
        <v>1841</v>
      </c>
      <c r="L329" s="132" t="s">
        <v>1842</v>
      </c>
      <c r="M329" s="132" t="s">
        <v>1917</v>
      </c>
      <c r="N329" s="132" t="s">
        <v>1112</v>
      </c>
      <c r="O329" s="132" t="s">
        <v>1918</v>
      </c>
      <c r="P329" s="132" t="s">
        <v>1913</v>
      </c>
      <c r="Q329" s="132" t="s">
        <v>1108</v>
      </c>
    </row>
    <row r="330" spans="1:17" x14ac:dyDescent="0.2">
      <c r="A330" t="s">
        <v>270</v>
      </c>
      <c r="B330" s="141">
        <f t="shared" si="5"/>
        <v>1.6500000000000001</v>
      </c>
      <c r="C330" s="280">
        <v>45615</v>
      </c>
      <c r="D330" s="279">
        <v>45616</v>
      </c>
      <c r="E330" s="279">
        <v>45617</v>
      </c>
      <c r="F330" s="132"/>
      <c r="G330" s="132" t="s">
        <v>1108</v>
      </c>
      <c r="H330" s="132" t="s">
        <v>373</v>
      </c>
      <c r="I330" s="132" t="s">
        <v>1100</v>
      </c>
      <c r="J330" s="132" t="s">
        <v>1840</v>
      </c>
      <c r="K330" s="132" t="s">
        <v>1841</v>
      </c>
      <c r="L330" s="132" t="s">
        <v>1842</v>
      </c>
      <c r="M330" s="132" t="s">
        <v>1919</v>
      </c>
      <c r="N330" s="132" t="s">
        <v>1112</v>
      </c>
      <c r="O330" s="132" t="s">
        <v>1920</v>
      </c>
      <c r="P330" s="132" t="s">
        <v>1913</v>
      </c>
      <c r="Q330" s="132" t="s">
        <v>1108</v>
      </c>
    </row>
    <row r="331" spans="1:17" x14ac:dyDescent="0.2">
      <c r="A331" t="s">
        <v>270</v>
      </c>
      <c r="B331" s="141">
        <f t="shared" si="5"/>
        <v>1.6600000000000001</v>
      </c>
      <c r="C331" s="280">
        <v>45616</v>
      </c>
      <c r="D331" s="279">
        <v>45617</v>
      </c>
      <c r="E331" s="279">
        <v>45617</v>
      </c>
      <c r="F331" s="132"/>
      <c r="G331" s="132" t="s">
        <v>1108</v>
      </c>
      <c r="H331" s="132" t="s">
        <v>373</v>
      </c>
      <c r="I331" s="132" t="s">
        <v>1100</v>
      </c>
      <c r="J331" s="132" t="s">
        <v>1840</v>
      </c>
      <c r="K331" s="132" t="s">
        <v>1848</v>
      </c>
      <c r="L331" s="132" t="s">
        <v>1849</v>
      </c>
      <c r="M331" s="132" t="s">
        <v>1921</v>
      </c>
      <c r="N331" s="132" t="s">
        <v>1117</v>
      </c>
      <c r="O331" s="132" t="s">
        <v>1922</v>
      </c>
      <c r="P331" s="132" t="s">
        <v>1913</v>
      </c>
      <c r="Q331" s="132" t="s">
        <v>1108</v>
      </c>
    </row>
    <row r="332" spans="1:17" x14ac:dyDescent="0.2">
      <c r="A332" t="s">
        <v>270</v>
      </c>
      <c r="B332" s="141">
        <f t="shared" si="5"/>
        <v>1.6600000000000001</v>
      </c>
      <c r="C332" s="280">
        <v>45616</v>
      </c>
      <c r="D332" s="279">
        <v>45617</v>
      </c>
      <c r="E332" s="279">
        <v>45617</v>
      </c>
      <c r="F332" s="132"/>
      <c r="G332" s="132" t="s">
        <v>1923</v>
      </c>
      <c r="H332" s="132" t="s">
        <v>373</v>
      </c>
      <c r="I332" s="132" t="s">
        <v>1100</v>
      </c>
      <c r="J332" s="132" t="s">
        <v>1840</v>
      </c>
      <c r="K332" s="132" t="s">
        <v>1848</v>
      </c>
      <c r="L332" s="132" t="s">
        <v>1849</v>
      </c>
      <c r="M332" s="281" t="s">
        <v>1924</v>
      </c>
      <c r="N332" s="132" t="s">
        <v>1105</v>
      </c>
      <c r="O332" s="132" t="s">
        <v>1925</v>
      </c>
      <c r="P332" s="132" t="s">
        <v>1913</v>
      </c>
      <c r="Q332" s="132" t="s">
        <v>1108</v>
      </c>
    </row>
    <row r="333" spans="1:17" x14ac:dyDescent="0.2">
      <c r="A333" t="s">
        <v>270</v>
      </c>
      <c r="B333" s="141">
        <f t="shared" si="5"/>
        <v>5.59</v>
      </c>
      <c r="C333" s="280">
        <v>45616</v>
      </c>
      <c r="D333" s="279">
        <v>45618</v>
      </c>
      <c r="E333" s="279">
        <v>45618</v>
      </c>
      <c r="F333" s="132"/>
      <c r="G333" s="132" t="s">
        <v>1229</v>
      </c>
      <c r="H333" s="132" t="s">
        <v>373</v>
      </c>
      <c r="I333" s="132" t="s">
        <v>1100</v>
      </c>
      <c r="J333" s="132" t="s">
        <v>1926</v>
      </c>
      <c r="K333" s="132" t="s">
        <v>1927</v>
      </c>
      <c r="L333" s="132" t="s">
        <v>1928</v>
      </c>
      <c r="M333" s="132" t="s">
        <v>1929</v>
      </c>
      <c r="N333" s="132" t="s">
        <v>1105</v>
      </c>
      <c r="O333" s="132" t="s">
        <v>1930</v>
      </c>
      <c r="P333" s="132" t="s">
        <v>1931</v>
      </c>
      <c r="Q333" s="132" t="s">
        <v>1108</v>
      </c>
    </row>
    <row r="334" spans="1:17" x14ac:dyDescent="0.2">
      <c r="A334" t="s">
        <v>270</v>
      </c>
      <c r="B334" s="141">
        <f t="shared" si="5"/>
        <v>1.6500000000000001</v>
      </c>
      <c r="C334" s="280">
        <v>45617</v>
      </c>
      <c r="D334" s="279">
        <v>45617</v>
      </c>
      <c r="E334" s="279">
        <v>45618</v>
      </c>
      <c r="F334" s="132"/>
      <c r="G334" s="132" t="s">
        <v>1108</v>
      </c>
      <c r="H334" s="132" t="s">
        <v>373</v>
      </c>
      <c r="I334" s="132" t="s">
        <v>1100</v>
      </c>
      <c r="J334" s="132" t="s">
        <v>1840</v>
      </c>
      <c r="K334" s="132" t="s">
        <v>1841</v>
      </c>
      <c r="L334" s="132" t="s">
        <v>1842</v>
      </c>
      <c r="M334" s="132" t="s">
        <v>1932</v>
      </c>
      <c r="N334" s="132" t="s">
        <v>1112</v>
      </c>
      <c r="O334" s="132" t="s">
        <v>1933</v>
      </c>
      <c r="P334" s="132" t="s">
        <v>1931</v>
      </c>
      <c r="Q334" s="132" t="s">
        <v>1108</v>
      </c>
    </row>
    <row r="335" spans="1:17" x14ac:dyDescent="0.2">
      <c r="A335" t="s">
        <v>270</v>
      </c>
      <c r="B335" s="141">
        <f t="shared" si="5"/>
        <v>1.6600000000000001</v>
      </c>
      <c r="C335" s="280">
        <v>45617</v>
      </c>
      <c r="D335" s="279">
        <v>45618</v>
      </c>
      <c r="E335" s="279">
        <v>45618</v>
      </c>
      <c r="F335" s="132"/>
      <c r="G335" s="132" t="s">
        <v>1108</v>
      </c>
      <c r="H335" s="132" t="s">
        <v>373</v>
      </c>
      <c r="I335" s="132" t="s">
        <v>1100</v>
      </c>
      <c r="J335" s="132" t="s">
        <v>1840</v>
      </c>
      <c r="K335" s="132" t="s">
        <v>1848</v>
      </c>
      <c r="L335" s="132" t="s">
        <v>1849</v>
      </c>
      <c r="M335" s="132" t="s">
        <v>1934</v>
      </c>
      <c r="N335" s="132" t="s">
        <v>1117</v>
      </c>
      <c r="O335" s="132" t="s">
        <v>1935</v>
      </c>
      <c r="P335" s="132" t="s">
        <v>1931</v>
      </c>
      <c r="Q335" s="132" t="s">
        <v>1108</v>
      </c>
    </row>
    <row r="336" spans="1:17" x14ac:dyDescent="0.2">
      <c r="A336" t="s">
        <v>245</v>
      </c>
      <c r="B336" s="141">
        <f t="shared" si="5"/>
        <v>1.6500000000000001</v>
      </c>
      <c r="C336" s="280">
        <v>45617</v>
      </c>
      <c r="D336" s="279">
        <v>45618</v>
      </c>
      <c r="E336" s="279">
        <v>45619</v>
      </c>
      <c r="F336" s="132"/>
      <c r="G336" s="132" t="s">
        <v>1108</v>
      </c>
      <c r="H336" s="132" t="s">
        <v>373</v>
      </c>
      <c r="I336" s="132" t="s">
        <v>1100</v>
      </c>
      <c r="J336" s="132" t="s">
        <v>1840</v>
      </c>
      <c r="K336" s="132" t="s">
        <v>1841</v>
      </c>
      <c r="L336" s="132" t="s">
        <v>1842</v>
      </c>
      <c r="M336" s="132" t="s">
        <v>1936</v>
      </c>
      <c r="N336" s="132" t="s">
        <v>1112</v>
      </c>
      <c r="O336" s="132" t="s">
        <v>1937</v>
      </c>
      <c r="P336" s="132" t="s">
        <v>1938</v>
      </c>
      <c r="Q336" s="132" t="s">
        <v>1108</v>
      </c>
    </row>
    <row r="337" spans="1:17" x14ac:dyDescent="0.2">
      <c r="A337" t="s">
        <v>246</v>
      </c>
      <c r="B337" s="141">
        <f t="shared" si="5"/>
        <v>3.62</v>
      </c>
      <c r="C337" s="280">
        <v>45617</v>
      </c>
      <c r="D337" s="279">
        <v>45618</v>
      </c>
      <c r="E337" s="279">
        <v>45619</v>
      </c>
      <c r="F337" s="132"/>
      <c r="G337" s="132" t="s">
        <v>1108</v>
      </c>
      <c r="H337" s="132" t="s">
        <v>373</v>
      </c>
      <c r="I337" s="132" t="s">
        <v>1100</v>
      </c>
      <c r="J337" s="132" t="s">
        <v>1853</v>
      </c>
      <c r="K337" s="132" t="s">
        <v>1731</v>
      </c>
      <c r="L337" s="132" t="s">
        <v>1854</v>
      </c>
      <c r="M337" s="132" t="s">
        <v>1939</v>
      </c>
      <c r="N337" s="132" t="s">
        <v>1117</v>
      </c>
      <c r="O337" s="132" t="s">
        <v>1940</v>
      </c>
      <c r="P337" s="132" t="s">
        <v>1938</v>
      </c>
      <c r="Q337" s="132" t="s">
        <v>1108</v>
      </c>
    </row>
    <row r="338" spans="1:17" x14ac:dyDescent="0.2">
      <c r="A338" t="s">
        <v>246</v>
      </c>
      <c r="B338" s="141">
        <f t="shared" si="5"/>
        <v>3.62</v>
      </c>
      <c r="C338" s="280">
        <v>45617</v>
      </c>
      <c r="D338" s="279">
        <v>45618</v>
      </c>
      <c r="E338" s="279">
        <v>45619</v>
      </c>
      <c r="F338" s="132"/>
      <c r="G338" s="132" t="s">
        <v>1869</v>
      </c>
      <c r="H338" s="132" t="s">
        <v>373</v>
      </c>
      <c r="I338" s="132" t="s">
        <v>1100</v>
      </c>
      <c r="J338" s="132" t="s">
        <v>1853</v>
      </c>
      <c r="K338" s="132" t="s">
        <v>1731</v>
      </c>
      <c r="L338" s="132" t="s">
        <v>1854</v>
      </c>
      <c r="M338" s="132" t="s">
        <v>1941</v>
      </c>
      <c r="N338" s="132" t="s">
        <v>1105</v>
      </c>
      <c r="O338" s="132" t="s">
        <v>1942</v>
      </c>
      <c r="P338" s="132" t="s">
        <v>1938</v>
      </c>
      <c r="Q338" s="132" t="s">
        <v>1108</v>
      </c>
    </row>
    <row r="339" spans="1:17" x14ac:dyDescent="0.2">
      <c r="A339" t="s">
        <v>270</v>
      </c>
      <c r="B339" s="141">
        <f t="shared" si="5"/>
        <v>1.6500000000000001</v>
      </c>
      <c r="C339" s="280">
        <v>45617</v>
      </c>
      <c r="D339" s="279">
        <v>45618</v>
      </c>
      <c r="E339" s="279">
        <v>45619</v>
      </c>
      <c r="F339" s="132"/>
      <c r="G339" s="132" t="s">
        <v>1108</v>
      </c>
      <c r="H339" s="132" t="s">
        <v>373</v>
      </c>
      <c r="I339" s="132" t="s">
        <v>1100</v>
      </c>
      <c r="J339" s="132" t="s">
        <v>1840</v>
      </c>
      <c r="K339" s="132" t="s">
        <v>1841</v>
      </c>
      <c r="L339" s="132" t="s">
        <v>1842</v>
      </c>
      <c r="M339" s="132" t="s">
        <v>1943</v>
      </c>
      <c r="N339" s="132" t="s">
        <v>1112</v>
      </c>
      <c r="O339" s="132" t="s">
        <v>1944</v>
      </c>
      <c r="P339" s="132" t="s">
        <v>1938</v>
      </c>
      <c r="Q339" s="132" t="s">
        <v>1108</v>
      </c>
    </row>
    <row r="340" spans="1:17" x14ac:dyDescent="0.2">
      <c r="A340" t="s">
        <v>270</v>
      </c>
      <c r="B340" s="141">
        <f t="shared" si="5"/>
        <v>1.6600000000000001</v>
      </c>
      <c r="C340" s="280">
        <v>45617</v>
      </c>
      <c r="D340" s="279">
        <v>45618</v>
      </c>
      <c r="E340" s="279">
        <v>45619</v>
      </c>
      <c r="F340" s="132"/>
      <c r="G340" s="132" t="s">
        <v>1108</v>
      </c>
      <c r="H340" s="132" t="s">
        <v>373</v>
      </c>
      <c r="I340" s="132" t="s">
        <v>1100</v>
      </c>
      <c r="J340" s="132" t="s">
        <v>1840</v>
      </c>
      <c r="K340" s="132" t="s">
        <v>1848</v>
      </c>
      <c r="L340" s="132" t="s">
        <v>1849</v>
      </c>
      <c r="M340" s="132" t="s">
        <v>1945</v>
      </c>
      <c r="N340" s="132" t="s">
        <v>1117</v>
      </c>
      <c r="O340" s="132" t="s">
        <v>1946</v>
      </c>
      <c r="P340" s="132" t="s">
        <v>1938</v>
      </c>
      <c r="Q340" s="132" t="s">
        <v>1108</v>
      </c>
    </row>
    <row r="341" spans="1:17" x14ac:dyDescent="0.2">
      <c r="A341" t="s">
        <v>245</v>
      </c>
      <c r="B341" s="141">
        <f t="shared" si="5"/>
        <v>1.6600000000000001</v>
      </c>
      <c r="C341" s="280">
        <v>45617</v>
      </c>
      <c r="D341" s="279">
        <v>45618</v>
      </c>
      <c r="E341" s="279">
        <v>45619</v>
      </c>
      <c r="F341" s="132"/>
      <c r="G341" s="132" t="s">
        <v>1585</v>
      </c>
      <c r="H341" s="132" t="s">
        <v>373</v>
      </c>
      <c r="I341" s="132" t="s">
        <v>1100</v>
      </c>
      <c r="J341" s="132" t="s">
        <v>1840</v>
      </c>
      <c r="K341" s="132" t="s">
        <v>1848</v>
      </c>
      <c r="L341" s="132" t="s">
        <v>1849</v>
      </c>
      <c r="M341" s="132" t="s">
        <v>1947</v>
      </c>
      <c r="N341" s="132" t="s">
        <v>1105</v>
      </c>
      <c r="O341" s="132" t="s">
        <v>1948</v>
      </c>
      <c r="P341" s="132" t="s">
        <v>1938</v>
      </c>
      <c r="Q341" s="132" t="s">
        <v>1108</v>
      </c>
    </row>
    <row r="342" spans="1:17" x14ac:dyDescent="0.2">
      <c r="A342" t="s">
        <v>271</v>
      </c>
      <c r="B342" s="141">
        <f t="shared" si="5"/>
        <v>7.55</v>
      </c>
      <c r="C342" s="280">
        <v>45617</v>
      </c>
      <c r="D342" s="279">
        <v>45620</v>
      </c>
      <c r="E342" s="279">
        <v>45621</v>
      </c>
      <c r="F342" s="132"/>
      <c r="G342" s="132" t="s">
        <v>1108</v>
      </c>
      <c r="H342" s="132" t="s">
        <v>373</v>
      </c>
      <c r="I342" s="132" t="s">
        <v>1100</v>
      </c>
      <c r="J342" s="132" t="s">
        <v>1949</v>
      </c>
      <c r="K342" s="132" t="s">
        <v>1950</v>
      </c>
      <c r="L342" s="132" t="s">
        <v>1951</v>
      </c>
      <c r="M342" s="132" t="s">
        <v>1952</v>
      </c>
      <c r="N342" s="132" t="s">
        <v>1117</v>
      </c>
      <c r="O342" s="132" t="s">
        <v>1953</v>
      </c>
      <c r="P342" s="132" t="s">
        <v>1954</v>
      </c>
      <c r="Q342" s="132" t="s">
        <v>1108</v>
      </c>
    </row>
    <row r="343" spans="1:17" x14ac:dyDescent="0.2">
      <c r="A343" t="s">
        <v>245</v>
      </c>
      <c r="B343" s="141">
        <f t="shared" si="5"/>
        <v>1.6600000000000001</v>
      </c>
      <c r="C343" s="280">
        <v>45620</v>
      </c>
      <c r="D343" s="279">
        <v>45621</v>
      </c>
      <c r="E343" s="279">
        <v>45621</v>
      </c>
      <c r="F343" s="132"/>
      <c r="G343" s="132" t="s">
        <v>1108</v>
      </c>
      <c r="H343" s="132" t="s">
        <v>373</v>
      </c>
      <c r="I343" s="132" t="s">
        <v>1100</v>
      </c>
      <c r="J343" s="132" t="s">
        <v>1840</v>
      </c>
      <c r="K343" s="132" t="s">
        <v>1848</v>
      </c>
      <c r="L343" s="132" t="s">
        <v>1849</v>
      </c>
      <c r="M343" s="132" t="s">
        <v>1955</v>
      </c>
      <c r="N343" s="132" t="s">
        <v>1117</v>
      </c>
      <c r="O343" s="132" t="s">
        <v>1956</v>
      </c>
      <c r="P343" s="132" t="s">
        <v>1954</v>
      </c>
      <c r="Q343" s="132" t="s">
        <v>1108</v>
      </c>
    </row>
    <row r="344" spans="1:17" x14ac:dyDescent="0.2">
      <c r="A344" t="s">
        <v>245</v>
      </c>
      <c r="B344" s="141">
        <f t="shared" si="5"/>
        <v>1.6500000000000001</v>
      </c>
      <c r="C344" s="280">
        <v>45620</v>
      </c>
      <c r="D344" s="279">
        <v>45621</v>
      </c>
      <c r="E344" s="279">
        <v>45622</v>
      </c>
      <c r="F344" s="132"/>
      <c r="G344" s="132" t="s">
        <v>1108</v>
      </c>
      <c r="H344" s="132" t="s">
        <v>373</v>
      </c>
      <c r="I344" s="132" t="s">
        <v>1100</v>
      </c>
      <c r="J344" s="132" t="s">
        <v>1840</v>
      </c>
      <c r="K344" s="132" t="s">
        <v>1841</v>
      </c>
      <c r="L344" s="132" t="s">
        <v>1842</v>
      </c>
      <c r="M344" s="132" t="s">
        <v>1957</v>
      </c>
      <c r="N344" s="132" t="s">
        <v>1112</v>
      </c>
      <c r="O344" s="132" t="s">
        <v>1958</v>
      </c>
      <c r="P344" s="132" t="s">
        <v>1959</v>
      </c>
      <c r="Q344" s="132" t="s">
        <v>1108</v>
      </c>
    </row>
    <row r="345" spans="1:17" x14ac:dyDescent="0.2">
      <c r="A345" t="s">
        <v>245</v>
      </c>
      <c r="B345" s="141">
        <f t="shared" si="5"/>
        <v>1.6600000000000001</v>
      </c>
      <c r="C345" s="280">
        <v>45620</v>
      </c>
      <c r="D345" s="279">
        <v>45621</v>
      </c>
      <c r="E345" s="279">
        <v>45622</v>
      </c>
      <c r="F345" s="132"/>
      <c r="G345" s="132" t="s">
        <v>1108</v>
      </c>
      <c r="H345" s="132" t="s">
        <v>373</v>
      </c>
      <c r="I345" s="132" t="s">
        <v>1100</v>
      </c>
      <c r="J345" s="132" t="s">
        <v>1840</v>
      </c>
      <c r="K345" s="132" t="s">
        <v>1848</v>
      </c>
      <c r="L345" s="132" t="s">
        <v>1849</v>
      </c>
      <c r="M345" s="132" t="s">
        <v>1960</v>
      </c>
      <c r="N345" s="132" t="s">
        <v>1117</v>
      </c>
      <c r="O345" s="132" t="s">
        <v>1961</v>
      </c>
      <c r="P345" s="132" t="s">
        <v>1959</v>
      </c>
      <c r="Q345" s="132" t="s">
        <v>1108</v>
      </c>
    </row>
    <row r="346" spans="1:17" x14ac:dyDescent="0.2">
      <c r="A346" t="s">
        <v>245</v>
      </c>
      <c r="B346" s="141">
        <f t="shared" si="5"/>
        <v>3.6</v>
      </c>
      <c r="C346" s="280">
        <v>45621</v>
      </c>
      <c r="D346" s="279">
        <v>45621</v>
      </c>
      <c r="E346" s="279">
        <v>45622</v>
      </c>
      <c r="F346" s="132"/>
      <c r="G346" s="132" t="s">
        <v>1108</v>
      </c>
      <c r="H346" s="132" t="s">
        <v>373</v>
      </c>
      <c r="I346" s="132" t="s">
        <v>1100</v>
      </c>
      <c r="J346" s="132" t="s">
        <v>1853</v>
      </c>
      <c r="K346" s="132" t="s">
        <v>1755</v>
      </c>
      <c r="L346" s="132" t="s">
        <v>1962</v>
      </c>
      <c r="M346" s="132" t="s">
        <v>1963</v>
      </c>
      <c r="N346" s="132" t="s">
        <v>1112</v>
      </c>
      <c r="O346" s="132" t="s">
        <v>1964</v>
      </c>
      <c r="P346" s="132" t="s">
        <v>1959</v>
      </c>
      <c r="Q346" s="132" t="s">
        <v>1108</v>
      </c>
    </row>
    <row r="347" spans="1:17" x14ac:dyDescent="0.2">
      <c r="A347" t="s">
        <v>245</v>
      </c>
      <c r="B347" s="141">
        <f t="shared" si="5"/>
        <v>1.6600000000000001</v>
      </c>
      <c r="C347" s="280">
        <v>45621</v>
      </c>
      <c r="D347" s="279">
        <v>45622</v>
      </c>
      <c r="E347" s="279">
        <v>45622</v>
      </c>
      <c r="F347" s="132"/>
      <c r="G347" s="132" t="s">
        <v>1108</v>
      </c>
      <c r="H347" s="132" t="s">
        <v>373</v>
      </c>
      <c r="I347" s="132" t="s">
        <v>1100</v>
      </c>
      <c r="J347" s="132" t="s">
        <v>1840</v>
      </c>
      <c r="K347" s="132" t="s">
        <v>1848</v>
      </c>
      <c r="L347" s="132" t="s">
        <v>1849</v>
      </c>
      <c r="M347" s="132" t="s">
        <v>1965</v>
      </c>
      <c r="N347" s="132" t="s">
        <v>1117</v>
      </c>
      <c r="O347" s="132" t="s">
        <v>1966</v>
      </c>
      <c r="P347" s="132" t="s">
        <v>1959</v>
      </c>
      <c r="Q347" s="132" t="s">
        <v>1108</v>
      </c>
    </row>
    <row r="348" spans="1:17" x14ac:dyDescent="0.2">
      <c r="A348" t="s">
        <v>245</v>
      </c>
      <c r="B348" s="141">
        <f t="shared" si="5"/>
        <v>1.6600000000000001</v>
      </c>
      <c r="C348" s="280">
        <v>45621</v>
      </c>
      <c r="D348" s="279">
        <v>45622</v>
      </c>
      <c r="E348" s="279">
        <v>45622</v>
      </c>
      <c r="F348" s="132"/>
      <c r="G348" s="132" t="s">
        <v>1967</v>
      </c>
      <c r="H348" s="132" t="s">
        <v>373</v>
      </c>
      <c r="I348" s="132" t="s">
        <v>1100</v>
      </c>
      <c r="J348" s="132" t="s">
        <v>1840</v>
      </c>
      <c r="K348" s="132" t="s">
        <v>1848</v>
      </c>
      <c r="L348" s="132" t="s">
        <v>1849</v>
      </c>
      <c r="M348" s="132" t="s">
        <v>1968</v>
      </c>
      <c r="N348" s="132" t="s">
        <v>1105</v>
      </c>
      <c r="O348" s="132" t="s">
        <v>1969</v>
      </c>
      <c r="P348" s="132" t="s">
        <v>1959</v>
      </c>
      <c r="Q348" s="132" t="s">
        <v>1108</v>
      </c>
    </row>
    <row r="349" spans="1:17" x14ac:dyDescent="0.2">
      <c r="A349" t="s">
        <v>245</v>
      </c>
      <c r="B349" s="141">
        <f t="shared" si="5"/>
        <v>1.6500000000000001</v>
      </c>
      <c r="C349" s="280">
        <v>45621</v>
      </c>
      <c r="D349" s="279">
        <v>45621</v>
      </c>
      <c r="E349" s="279">
        <v>45622</v>
      </c>
      <c r="F349" s="132"/>
      <c r="G349" s="132" t="s">
        <v>1108</v>
      </c>
      <c r="H349" s="132" t="s">
        <v>373</v>
      </c>
      <c r="I349" s="132" t="s">
        <v>1100</v>
      </c>
      <c r="J349" s="132" t="s">
        <v>1840</v>
      </c>
      <c r="K349" s="132" t="s">
        <v>1841</v>
      </c>
      <c r="L349" s="132" t="s">
        <v>1842</v>
      </c>
      <c r="M349" s="132" t="s">
        <v>1970</v>
      </c>
      <c r="N349" s="132" t="s">
        <v>1112</v>
      </c>
      <c r="O349" s="132" t="s">
        <v>1971</v>
      </c>
      <c r="P349" s="132" t="s">
        <v>1959</v>
      </c>
      <c r="Q349" s="132" t="s">
        <v>1108</v>
      </c>
    </row>
    <row r="350" spans="1:17" x14ac:dyDescent="0.2">
      <c r="A350" t="s">
        <v>245</v>
      </c>
      <c r="B350" s="141">
        <f t="shared" si="5"/>
        <v>1.6600000000000001</v>
      </c>
      <c r="C350" s="280">
        <v>45621</v>
      </c>
      <c r="D350" s="279">
        <v>45622</v>
      </c>
      <c r="E350" s="279">
        <v>45623</v>
      </c>
      <c r="F350" s="132"/>
      <c r="G350" s="132" t="s">
        <v>1108</v>
      </c>
      <c r="H350" s="132" t="s">
        <v>373</v>
      </c>
      <c r="I350" s="132" t="s">
        <v>1100</v>
      </c>
      <c r="J350" s="132" t="s">
        <v>1840</v>
      </c>
      <c r="K350" s="132" t="s">
        <v>1848</v>
      </c>
      <c r="L350" s="132" t="s">
        <v>1849</v>
      </c>
      <c r="M350" s="132" t="s">
        <v>1972</v>
      </c>
      <c r="N350" s="132" t="s">
        <v>1117</v>
      </c>
      <c r="O350" s="132" t="s">
        <v>1973</v>
      </c>
      <c r="P350" s="281" t="s">
        <v>1974</v>
      </c>
      <c r="Q350" s="132" t="s">
        <v>1108</v>
      </c>
    </row>
    <row r="351" spans="1:17" x14ac:dyDescent="0.2">
      <c r="A351" t="s">
        <v>270</v>
      </c>
      <c r="B351" s="141">
        <f t="shared" si="5"/>
        <v>1.6600000000000001</v>
      </c>
      <c r="C351" s="280">
        <v>45622</v>
      </c>
      <c r="D351" s="279">
        <v>45623</v>
      </c>
      <c r="E351" s="279">
        <v>45623</v>
      </c>
      <c r="F351" s="132"/>
      <c r="G351" s="132" t="s">
        <v>1217</v>
      </c>
      <c r="H351" s="132" t="s">
        <v>373</v>
      </c>
      <c r="I351" s="132" t="s">
        <v>1100</v>
      </c>
      <c r="J351" s="132" t="s">
        <v>1840</v>
      </c>
      <c r="K351" s="132" t="s">
        <v>1848</v>
      </c>
      <c r="L351" s="132" t="s">
        <v>1849</v>
      </c>
      <c r="M351" s="132" t="s">
        <v>1975</v>
      </c>
      <c r="N351" s="132" t="s">
        <v>1105</v>
      </c>
      <c r="O351" s="132" t="s">
        <v>1976</v>
      </c>
      <c r="P351" s="281" t="s">
        <v>1974</v>
      </c>
      <c r="Q351" s="132" t="s">
        <v>1108</v>
      </c>
    </row>
    <row r="352" spans="1:17" x14ac:dyDescent="0.2">
      <c r="A352" t="s">
        <v>271</v>
      </c>
      <c r="B352" s="141">
        <f t="shared" si="5"/>
        <v>3.62</v>
      </c>
      <c r="C352" s="280">
        <v>45622</v>
      </c>
      <c r="D352" s="279">
        <v>45623</v>
      </c>
      <c r="E352" s="279">
        <v>45623</v>
      </c>
      <c r="F352" s="132"/>
      <c r="G352" s="132" t="s">
        <v>1977</v>
      </c>
      <c r="H352" s="132" t="s">
        <v>373</v>
      </c>
      <c r="I352" s="132" t="s">
        <v>1100</v>
      </c>
      <c r="J352" s="132" t="s">
        <v>1853</v>
      </c>
      <c r="K352" s="132" t="s">
        <v>1731</v>
      </c>
      <c r="L352" s="132" t="s">
        <v>1854</v>
      </c>
      <c r="M352" s="132" t="s">
        <v>1978</v>
      </c>
      <c r="N352" s="132" t="s">
        <v>1105</v>
      </c>
      <c r="O352" s="132" t="s">
        <v>1979</v>
      </c>
      <c r="P352" s="281" t="s">
        <v>1974</v>
      </c>
      <c r="Q352" s="132" t="s">
        <v>1108</v>
      </c>
    </row>
    <row r="353" spans="1:17" x14ac:dyDescent="0.2">
      <c r="A353" t="s">
        <v>271</v>
      </c>
      <c r="B353" s="141">
        <f t="shared" si="5"/>
        <v>3.62</v>
      </c>
      <c r="C353" s="280">
        <v>45622</v>
      </c>
      <c r="D353" s="279">
        <v>45623</v>
      </c>
      <c r="E353" s="279">
        <v>45623</v>
      </c>
      <c r="F353" s="132"/>
      <c r="G353" s="132" t="s">
        <v>1108</v>
      </c>
      <c r="H353" s="132" t="s">
        <v>373</v>
      </c>
      <c r="I353" s="132" t="s">
        <v>1100</v>
      </c>
      <c r="J353" s="132" t="s">
        <v>1853</v>
      </c>
      <c r="K353" s="132" t="s">
        <v>1731</v>
      </c>
      <c r="L353" s="132" t="s">
        <v>1854</v>
      </c>
      <c r="M353" s="132" t="s">
        <v>1980</v>
      </c>
      <c r="N353" s="132" t="s">
        <v>1117</v>
      </c>
      <c r="O353" s="132" t="s">
        <v>1981</v>
      </c>
      <c r="P353" s="281" t="s">
        <v>1974</v>
      </c>
      <c r="Q353" s="132" t="s">
        <v>1108</v>
      </c>
    </row>
    <row r="354" spans="1:17" x14ac:dyDescent="0.2">
      <c r="A354" t="s">
        <v>270</v>
      </c>
      <c r="B354" s="141">
        <f t="shared" si="5"/>
        <v>1.6500000000000001</v>
      </c>
      <c r="C354" s="280">
        <v>45622</v>
      </c>
      <c r="D354" s="279">
        <v>45622</v>
      </c>
      <c r="E354" s="279">
        <v>45623</v>
      </c>
      <c r="F354" s="132"/>
      <c r="G354" s="132" t="s">
        <v>1108</v>
      </c>
      <c r="H354" s="132" t="s">
        <v>373</v>
      </c>
      <c r="I354" s="132" t="s">
        <v>1100</v>
      </c>
      <c r="J354" s="132" t="s">
        <v>1840</v>
      </c>
      <c r="K354" s="132" t="s">
        <v>1841</v>
      </c>
      <c r="L354" s="132" t="s">
        <v>1842</v>
      </c>
      <c r="M354" s="132" t="s">
        <v>1982</v>
      </c>
      <c r="N354" s="132" t="s">
        <v>1112</v>
      </c>
      <c r="O354" s="132" t="s">
        <v>1983</v>
      </c>
      <c r="P354" s="281" t="s">
        <v>1974</v>
      </c>
      <c r="Q354" s="132" t="s">
        <v>1108</v>
      </c>
    </row>
    <row r="355" spans="1:17" x14ac:dyDescent="0.2">
      <c r="A355" t="s">
        <v>270</v>
      </c>
      <c r="B355" s="141">
        <f t="shared" si="5"/>
        <v>1.6600000000000001</v>
      </c>
      <c r="C355" s="280">
        <v>45622</v>
      </c>
      <c r="D355" s="279">
        <v>45623</v>
      </c>
      <c r="E355" s="279">
        <v>45623</v>
      </c>
      <c r="F355" s="132"/>
      <c r="G355" s="132" t="s">
        <v>1108</v>
      </c>
      <c r="H355" s="132" t="s">
        <v>373</v>
      </c>
      <c r="I355" s="132" t="s">
        <v>1100</v>
      </c>
      <c r="J355" s="132" t="s">
        <v>1840</v>
      </c>
      <c r="K355" s="132" t="s">
        <v>1848</v>
      </c>
      <c r="L355" s="132" t="s">
        <v>1849</v>
      </c>
      <c r="M355" s="132" t="s">
        <v>1984</v>
      </c>
      <c r="N355" s="132" t="s">
        <v>1117</v>
      </c>
      <c r="O355" s="132" t="s">
        <v>1985</v>
      </c>
      <c r="P355" s="281" t="s">
        <v>1974</v>
      </c>
      <c r="Q355" s="132" t="s">
        <v>1108</v>
      </c>
    </row>
    <row r="356" spans="1:17" x14ac:dyDescent="0.2">
      <c r="A356" t="s">
        <v>270</v>
      </c>
      <c r="B356" s="141">
        <f t="shared" si="5"/>
        <v>1.6500000000000001</v>
      </c>
      <c r="C356" s="280">
        <v>45622</v>
      </c>
      <c r="D356" s="279">
        <v>45622</v>
      </c>
      <c r="E356" s="279">
        <v>45623</v>
      </c>
      <c r="F356" s="132"/>
      <c r="G356" s="132" t="s">
        <v>1108</v>
      </c>
      <c r="H356" s="132" t="s">
        <v>373</v>
      </c>
      <c r="I356" s="132" t="s">
        <v>1100</v>
      </c>
      <c r="J356" s="132" t="s">
        <v>1840</v>
      </c>
      <c r="K356" s="132" t="s">
        <v>1841</v>
      </c>
      <c r="L356" s="132" t="s">
        <v>1842</v>
      </c>
      <c r="M356" s="132" t="s">
        <v>1986</v>
      </c>
      <c r="N356" s="132" t="s">
        <v>1112</v>
      </c>
      <c r="O356" s="132" t="s">
        <v>1987</v>
      </c>
      <c r="P356" s="281" t="s">
        <v>1974</v>
      </c>
      <c r="Q356" s="132" t="s">
        <v>1108</v>
      </c>
    </row>
    <row r="357" spans="1:17" x14ac:dyDescent="0.2">
      <c r="A357" t="s">
        <v>270</v>
      </c>
      <c r="B357" s="141">
        <f t="shared" si="5"/>
        <v>1.6500000000000001</v>
      </c>
      <c r="C357" s="280">
        <v>45622</v>
      </c>
      <c r="D357" s="279">
        <v>45622</v>
      </c>
      <c r="E357" s="279">
        <v>45623</v>
      </c>
      <c r="F357" s="132"/>
      <c r="G357" s="132" t="s">
        <v>1108</v>
      </c>
      <c r="H357" s="132" t="s">
        <v>373</v>
      </c>
      <c r="I357" s="132" t="s">
        <v>1100</v>
      </c>
      <c r="J357" s="132" t="s">
        <v>1840</v>
      </c>
      <c r="K357" s="132" t="s">
        <v>1841</v>
      </c>
      <c r="L357" s="132" t="s">
        <v>1842</v>
      </c>
      <c r="M357" s="132" t="s">
        <v>1988</v>
      </c>
      <c r="N357" s="132" t="s">
        <v>1112</v>
      </c>
      <c r="O357" s="132" t="s">
        <v>1989</v>
      </c>
      <c r="P357" s="281" t="s">
        <v>1974</v>
      </c>
      <c r="Q357" s="132" t="s">
        <v>1108</v>
      </c>
    </row>
    <row r="358" spans="1:17" x14ac:dyDescent="0.2">
      <c r="A358" t="s">
        <v>271</v>
      </c>
      <c r="B358" s="141">
        <f t="shared" si="5"/>
        <v>3.6</v>
      </c>
      <c r="C358" s="280">
        <v>45622</v>
      </c>
      <c r="D358" s="279">
        <v>45622</v>
      </c>
      <c r="E358" s="279">
        <v>45623</v>
      </c>
      <c r="F358" s="132"/>
      <c r="G358" s="132" t="s">
        <v>1108</v>
      </c>
      <c r="H358" s="132" t="s">
        <v>373</v>
      </c>
      <c r="I358" s="132" t="s">
        <v>1100</v>
      </c>
      <c r="J358" s="132" t="s">
        <v>1853</v>
      </c>
      <c r="K358" s="132" t="s">
        <v>1755</v>
      </c>
      <c r="L358" s="132" t="s">
        <v>1962</v>
      </c>
      <c r="M358" s="132" t="s">
        <v>1990</v>
      </c>
      <c r="N358" s="132" t="s">
        <v>1112</v>
      </c>
      <c r="O358" s="132" t="s">
        <v>1991</v>
      </c>
      <c r="P358" s="281" t="s">
        <v>1974</v>
      </c>
      <c r="Q358" s="132" t="s">
        <v>1108</v>
      </c>
    </row>
    <row r="359" spans="1:17" x14ac:dyDescent="0.2">
      <c r="A359" t="s">
        <v>270</v>
      </c>
      <c r="B359" s="141">
        <f t="shared" si="5"/>
        <v>1.6600000000000001</v>
      </c>
      <c r="C359" s="280">
        <v>45622</v>
      </c>
      <c r="D359" s="279">
        <v>45624</v>
      </c>
      <c r="E359" s="279">
        <v>45624</v>
      </c>
      <c r="F359" s="132"/>
      <c r="G359" s="132" t="s">
        <v>1402</v>
      </c>
      <c r="H359" s="132" t="s">
        <v>373</v>
      </c>
      <c r="I359" s="132" t="s">
        <v>1100</v>
      </c>
      <c r="J359" s="132" t="s">
        <v>1840</v>
      </c>
      <c r="K359" s="132" t="s">
        <v>1848</v>
      </c>
      <c r="L359" s="132" t="s">
        <v>1849</v>
      </c>
      <c r="M359" s="132" t="s">
        <v>1992</v>
      </c>
      <c r="N359" s="132" t="s">
        <v>1105</v>
      </c>
      <c r="O359" s="132" t="s">
        <v>1993</v>
      </c>
      <c r="P359" s="132" t="s">
        <v>1994</v>
      </c>
      <c r="Q359" s="132" t="s">
        <v>1108</v>
      </c>
    </row>
    <row r="360" spans="1:17" x14ac:dyDescent="0.2">
      <c r="A360" t="s">
        <v>270</v>
      </c>
      <c r="B360" s="141">
        <f t="shared" si="5"/>
        <v>1.6600000000000001</v>
      </c>
      <c r="C360" s="280">
        <v>45622</v>
      </c>
      <c r="D360" s="279">
        <v>45623</v>
      </c>
      <c r="E360" s="279">
        <v>45624</v>
      </c>
      <c r="F360" s="132"/>
      <c r="G360" s="132" t="s">
        <v>1108</v>
      </c>
      <c r="H360" s="132" t="s">
        <v>373</v>
      </c>
      <c r="I360" s="132" t="s">
        <v>1100</v>
      </c>
      <c r="J360" s="132" t="s">
        <v>1840</v>
      </c>
      <c r="K360" s="132" t="s">
        <v>1848</v>
      </c>
      <c r="L360" s="132" t="s">
        <v>1849</v>
      </c>
      <c r="M360" s="132" t="s">
        <v>1995</v>
      </c>
      <c r="N360" s="132" t="s">
        <v>1117</v>
      </c>
      <c r="O360" s="132" t="s">
        <v>1996</v>
      </c>
      <c r="P360" s="132" t="s">
        <v>1994</v>
      </c>
      <c r="Q360" s="132" t="s">
        <v>1108</v>
      </c>
    </row>
    <row r="361" spans="1:17" x14ac:dyDescent="0.2">
      <c r="A361" t="s">
        <v>270</v>
      </c>
      <c r="B361" s="141">
        <f t="shared" si="5"/>
        <v>1.6500000000000001</v>
      </c>
      <c r="C361" s="280">
        <v>45622</v>
      </c>
      <c r="D361" s="279">
        <v>45623</v>
      </c>
      <c r="E361" s="279">
        <v>45624</v>
      </c>
      <c r="F361" s="132"/>
      <c r="G361" s="132" t="s">
        <v>1108</v>
      </c>
      <c r="H361" s="132" t="s">
        <v>373</v>
      </c>
      <c r="I361" s="132" t="s">
        <v>1100</v>
      </c>
      <c r="J361" s="132" t="s">
        <v>1840</v>
      </c>
      <c r="K361" s="132" t="s">
        <v>1841</v>
      </c>
      <c r="L361" s="132" t="s">
        <v>1842</v>
      </c>
      <c r="M361" s="132" t="s">
        <v>1997</v>
      </c>
      <c r="N361" s="132" t="s">
        <v>1112</v>
      </c>
      <c r="O361" s="132" t="s">
        <v>1998</v>
      </c>
      <c r="P361" s="132" t="s">
        <v>1994</v>
      </c>
      <c r="Q361" s="132" t="s">
        <v>1108</v>
      </c>
    </row>
    <row r="362" spans="1:17" x14ac:dyDescent="0.2">
      <c r="A362" t="s">
        <v>270</v>
      </c>
      <c r="B362" s="141">
        <f t="shared" si="5"/>
        <v>1.6600000000000001</v>
      </c>
      <c r="C362" s="280">
        <v>45622</v>
      </c>
      <c r="D362" s="279">
        <v>45623</v>
      </c>
      <c r="E362" s="279">
        <v>45624</v>
      </c>
      <c r="F362" s="132"/>
      <c r="G362" s="132" t="s">
        <v>1999</v>
      </c>
      <c r="H362" s="132" t="s">
        <v>373</v>
      </c>
      <c r="I362" s="132" t="s">
        <v>1100</v>
      </c>
      <c r="J362" s="132" t="s">
        <v>1840</v>
      </c>
      <c r="K362" s="132" t="s">
        <v>1848</v>
      </c>
      <c r="L362" s="132" t="s">
        <v>1849</v>
      </c>
      <c r="M362" s="132" t="s">
        <v>2000</v>
      </c>
      <c r="N362" s="132" t="s">
        <v>1105</v>
      </c>
      <c r="O362" s="132" t="s">
        <v>2001</v>
      </c>
      <c r="P362" s="132" t="s">
        <v>1994</v>
      </c>
      <c r="Q362" s="132" t="s">
        <v>1108</v>
      </c>
    </row>
    <row r="363" spans="1:17" x14ac:dyDescent="0.2">
      <c r="A363" t="s">
        <v>270</v>
      </c>
      <c r="B363" s="141">
        <f t="shared" si="5"/>
        <v>1.6600000000000001</v>
      </c>
      <c r="C363" s="280">
        <v>45622</v>
      </c>
      <c r="D363" s="279">
        <v>45624</v>
      </c>
      <c r="E363" s="279">
        <v>45624</v>
      </c>
      <c r="F363" s="132"/>
      <c r="G363" s="132" t="s">
        <v>1108</v>
      </c>
      <c r="H363" s="132" t="s">
        <v>373</v>
      </c>
      <c r="I363" s="132" t="s">
        <v>1100</v>
      </c>
      <c r="J363" s="132" t="s">
        <v>1840</v>
      </c>
      <c r="K363" s="132" t="s">
        <v>1848</v>
      </c>
      <c r="L363" s="132" t="s">
        <v>1849</v>
      </c>
      <c r="M363" s="132" t="s">
        <v>2002</v>
      </c>
      <c r="N363" s="132" t="s">
        <v>1117</v>
      </c>
      <c r="O363" s="132" t="s">
        <v>2003</v>
      </c>
      <c r="P363" s="132" t="s">
        <v>1994</v>
      </c>
      <c r="Q363" s="132" t="s">
        <v>1108</v>
      </c>
    </row>
    <row r="364" spans="1:17" x14ac:dyDescent="0.2">
      <c r="A364" t="s">
        <v>270</v>
      </c>
      <c r="B364" s="141">
        <f t="shared" si="5"/>
        <v>1.6600000000000001</v>
      </c>
      <c r="C364" s="280">
        <v>45622</v>
      </c>
      <c r="D364" s="279">
        <v>45623</v>
      </c>
      <c r="E364" s="279">
        <v>45624</v>
      </c>
      <c r="F364" s="132"/>
      <c r="G364" s="132" t="s">
        <v>1108</v>
      </c>
      <c r="H364" s="132" t="s">
        <v>373</v>
      </c>
      <c r="I364" s="132" t="s">
        <v>1100</v>
      </c>
      <c r="J364" s="132" t="s">
        <v>1840</v>
      </c>
      <c r="K364" s="132" t="s">
        <v>1848</v>
      </c>
      <c r="L364" s="132" t="s">
        <v>1849</v>
      </c>
      <c r="M364" s="132" t="s">
        <v>2004</v>
      </c>
      <c r="N364" s="132" t="s">
        <v>1117</v>
      </c>
      <c r="O364" s="132" t="s">
        <v>2005</v>
      </c>
      <c r="P364" s="132" t="s">
        <v>1994</v>
      </c>
      <c r="Q364" s="132" t="s">
        <v>1108</v>
      </c>
    </row>
    <row r="365" spans="1:17" x14ac:dyDescent="0.2">
      <c r="A365" t="s">
        <v>270</v>
      </c>
      <c r="B365" s="141">
        <f t="shared" si="5"/>
        <v>1.6500000000000001</v>
      </c>
      <c r="C365" s="280">
        <v>45622</v>
      </c>
      <c r="D365" s="279">
        <v>45623</v>
      </c>
      <c r="E365" s="279">
        <v>45624</v>
      </c>
      <c r="F365" s="132"/>
      <c r="G365" s="132" t="s">
        <v>1108</v>
      </c>
      <c r="H365" s="132" t="s">
        <v>373</v>
      </c>
      <c r="I365" s="132" t="s">
        <v>1100</v>
      </c>
      <c r="J365" s="132" t="s">
        <v>1840</v>
      </c>
      <c r="K365" s="132" t="s">
        <v>1841</v>
      </c>
      <c r="L365" s="132" t="s">
        <v>1842</v>
      </c>
      <c r="M365" s="132" t="s">
        <v>2006</v>
      </c>
      <c r="N365" s="132" t="s">
        <v>1112</v>
      </c>
      <c r="O365" s="132" t="s">
        <v>2007</v>
      </c>
      <c r="P365" s="132" t="s">
        <v>1994</v>
      </c>
      <c r="Q365" s="132" t="s">
        <v>1108</v>
      </c>
    </row>
    <row r="366" spans="1:17" x14ac:dyDescent="0.2">
      <c r="A366" t="s">
        <v>270</v>
      </c>
      <c r="B366" s="141">
        <f t="shared" si="5"/>
        <v>1.6600000000000001</v>
      </c>
      <c r="C366" s="280">
        <v>45622</v>
      </c>
      <c r="D366" s="279">
        <v>45623</v>
      </c>
      <c r="E366" s="279">
        <v>45624</v>
      </c>
      <c r="F366" s="132"/>
      <c r="G366" s="132" t="s">
        <v>1556</v>
      </c>
      <c r="H366" s="132" t="s">
        <v>373</v>
      </c>
      <c r="I366" s="132" t="s">
        <v>1100</v>
      </c>
      <c r="J366" s="132" t="s">
        <v>1840</v>
      </c>
      <c r="K366" s="132" t="s">
        <v>1848</v>
      </c>
      <c r="L366" s="132" t="s">
        <v>1849</v>
      </c>
      <c r="M366" s="132" t="s">
        <v>2008</v>
      </c>
      <c r="N366" s="132" t="s">
        <v>1105</v>
      </c>
      <c r="O366" s="132" t="s">
        <v>2009</v>
      </c>
      <c r="P366" s="132" t="s">
        <v>1994</v>
      </c>
      <c r="Q366" s="132" t="s">
        <v>1108</v>
      </c>
    </row>
    <row r="367" spans="1:17" x14ac:dyDescent="0.2">
      <c r="A367" t="s">
        <v>270</v>
      </c>
      <c r="B367" s="141">
        <f t="shared" si="5"/>
        <v>1.6500000000000001</v>
      </c>
      <c r="C367" s="280">
        <v>45622</v>
      </c>
      <c r="D367" s="279">
        <v>45623</v>
      </c>
      <c r="E367" s="279">
        <v>45624</v>
      </c>
      <c r="F367" s="132"/>
      <c r="G367" s="132" t="s">
        <v>1108</v>
      </c>
      <c r="H367" s="132" t="s">
        <v>373</v>
      </c>
      <c r="I367" s="132" t="s">
        <v>1100</v>
      </c>
      <c r="J367" s="132" t="s">
        <v>1840</v>
      </c>
      <c r="K367" s="132" t="s">
        <v>1841</v>
      </c>
      <c r="L367" s="132" t="s">
        <v>1842</v>
      </c>
      <c r="M367" s="132" t="s">
        <v>2010</v>
      </c>
      <c r="N367" s="132" t="s">
        <v>1112</v>
      </c>
      <c r="O367" s="132" t="s">
        <v>2011</v>
      </c>
      <c r="P367" s="132" t="s">
        <v>1994</v>
      </c>
      <c r="Q367" s="132" t="s">
        <v>1108</v>
      </c>
    </row>
    <row r="368" spans="1:17" x14ac:dyDescent="0.2">
      <c r="A368" t="s">
        <v>270</v>
      </c>
      <c r="B368" s="141">
        <f t="shared" si="5"/>
        <v>1.6500000000000001</v>
      </c>
      <c r="C368" s="280">
        <v>45622</v>
      </c>
      <c r="D368" s="279">
        <v>45623</v>
      </c>
      <c r="E368" s="279">
        <v>45624</v>
      </c>
      <c r="F368" s="132"/>
      <c r="G368" s="132" t="s">
        <v>1108</v>
      </c>
      <c r="H368" s="132" t="s">
        <v>373</v>
      </c>
      <c r="I368" s="132" t="s">
        <v>1100</v>
      </c>
      <c r="J368" s="132" t="s">
        <v>1840</v>
      </c>
      <c r="K368" s="132" t="s">
        <v>1841</v>
      </c>
      <c r="L368" s="132" t="s">
        <v>1842</v>
      </c>
      <c r="M368" s="132" t="s">
        <v>2012</v>
      </c>
      <c r="N368" s="132" t="s">
        <v>1112</v>
      </c>
      <c r="O368" s="132" t="s">
        <v>2013</v>
      </c>
      <c r="P368" s="132" t="s">
        <v>1994</v>
      </c>
      <c r="Q368" s="132" t="s">
        <v>1108</v>
      </c>
    </row>
    <row r="369" spans="1:17" x14ac:dyDescent="0.2">
      <c r="A369" t="s">
        <v>270</v>
      </c>
      <c r="B369" s="141">
        <f t="shared" si="5"/>
        <v>1.6500000000000001</v>
      </c>
      <c r="C369" s="280">
        <v>45622</v>
      </c>
      <c r="D369" s="279">
        <v>45623</v>
      </c>
      <c r="E369" s="279">
        <v>45624</v>
      </c>
      <c r="F369" s="132"/>
      <c r="G369" s="132" t="s">
        <v>1108</v>
      </c>
      <c r="H369" s="132" t="s">
        <v>373</v>
      </c>
      <c r="I369" s="132" t="s">
        <v>1100</v>
      </c>
      <c r="J369" s="132" t="s">
        <v>1840</v>
      </c>
      <c r="K369" s="132" t="s">
        <v>1841</v>
      </c>
      <c r="L369" s="132" t="s">
        <v>1842</v>
      </c>
      <c r="M369" s="132" t="s">
        <v>2014</v>
      </c>
      <c r="N369" s="132" t="s">
        <v>1112</v>
      </c>
      <c r="O369" s="132" t="s">
        <v>2015</v>
      </c>
      <c r="P369" s="132" t="s">
        <v>1994</v>
      </c>
      <c r="Q369" s="132" t="s">
        <v>1108</v>
      </c>
    </row>
    <row r="370" spans="1:17" x14ac:dyDescent="0.2">
      <c r="A370" t="s">
        <v>270</v>
      </c>
      <c r="B370" s="141">
        <f t="shared" si="5"/>
        <v>1.6500000000000001</v>
      </c>
      <c r="C370" s="280">
        <v>45622</v>
      </c>
      <c r="D370" s="279">
        <v>45623</v>
      </c>
      <c r="E370" s="279">
        <v>45624</v>
      </c>
      <c r="F370" s="132"/>
      <c r="G370" s="132" t="s">
        <v>1108</v>
      </c>
      <c r="H370" s="132" t="s">
        <v>373</v>
      </c>
      <c r="I370" s="132" t="s">
        <v>1100</v>
      </c>
      <c r="J370" s="132" t="s">
        <v>1840</v>
      </c>
      <c r="K370" s="132" t="s">
        <v>1841</v>
      </c>
      <c r="L370" s="132" t="s">
        <v>1842</v>
      </c>
      <c r="M370" s="132" t="s">
        <v>2016</v>
      </c>
      <c r="N370" s="132" t="s">
        <v>1112</v>
      </c>
      <c r="O370" s="132" t="s">
        <v>2017</v>
      </c>
      <c r="P370" s="132" t="s">
        <v>1994</v>
      </c>
      <c r="Q370" s="132" t="s">
        <v>1108</v>
      </c>
    </row>
    <row r="371" spans="1:17" x14ac:dyDescent="0.2">
      <c r="A371" t="s">
        <v>270</v>
      </c>
      <c r="B371" s="141">
        <f t="shared" si="5"/>
        <v>1.6600000000000001</v>
      </c>
      <c r="C371" s="280">
        <v>45622</v>
      </c>
      <c r="D371" s="279">
        <v>45623</v>
      </c>
      <c r="E371" s="279">
        <v>45624</v>
      </c>
      <c r="F371" s="132"/>
      <c r="G371" s="132" t="s">
        <v>2018</v>
      </c>
      <c r="H371" s="132" t="s">
        <v>373</v>
      </c>
      <c r="I371" s="132" t="s">
        <v>1100</v>
      </c>
      <c r="J371" s="132" t="s">
        <v>1840</v>
      </c>
      <c r="K371" s="132" t="s">
        <v>1848</v>
      </c>
      <c r="L371" s="132" t="s">
        <v>1849</v>
      </c>
      <c r="M371" s="132" t="s">
        <v>2019</v>
      </c>
      <c r="N371" s="132" t="s">
        <v>1105</v>
      </c>
      <c r="O371" s="132" t="s">
        <v>2020</v>
      </c>
      <c r="P371" s="132" t="s">
        <v>1994</v>
      </c>
      <c r="Q371" s="132" t="s">
        <v>1108</v>
      </c>
    </row>
    <row r="372" spans="1:17" x14ac:dyDescent="0.2">
      <c r="A372" t="s">
        <v>271</v>
      </c>
      <c r="B372" s="141">
        <f t="shared" si="5"/>
        <v>3.62</v>
      </c>
      <c r="C372" s="280">
        <v>45622</v>
      </c>
      <c r="D372" s="279">
        <v>45623</v>
      </c>
      <c r="E372" s="279">
        <v>45624</v>
      </c>
      <c r="F372" s="132"/>
      <c r="G372" s="132" t="s">
        <v>1108</v>
      </c>
      <c r="H372" s="132" t="s">
        <v>373</v>
      </c>
      <c r="I372" s="132" t="s">
        <v>1100</v>
      </c>
      <c r="J372" s="132" t="s">
        <v>1853</v>
      </c>
      <c r="K372" s="132" t="s">
        <v>1731</v>
      </c>
      <c r="L372" s="132" t="s">
        <v>1854</v>
      </c>
      <c r="M372" s="132" t="s">
        <v>2021</v>
      </c>
      <c r="N372" s="132" t="s">
        <v>1117</v>
      </c>
      <c r="O372" s="132" t="s">
        <v>2022</v>
      </c>
      <c r="P372" s="132" t="s">
        <v>1994</v>
      </c>
      <c r="Q372" s="132" t="s">
        <v>1108</v>
      </c>
    </row>
    <row r="373" spans="1:17" x14ac:dyDescent="0.2">
      <c r="A373" t="s">
        <v>270</v>
      </c>
      <c r="B373" s="141">
        <f t="shared" si="5"/>
        <v>1.6500000000000001</v>
      </c>
      <c r="C373" s="280">
        <v>45622</v>
      </c>
      <c r="D373" s="279">
        <v>45623</v>
      </c>
      <c r="E373" s="279">
        <v>45624</v>
      </c>
      <c r="F373" s="132"/>
      <c r="G373" s="132" t="s">
        <v>1108</v>
      </c>
      <c r="H373" s="132" t="s">
        <v>373</v>
      </c>
      <c r="I373" s="132" t="s">
        <v>1100</v>
      </c>
      <c r="J373" s="132" t="s">
        <v>1840</v>
      </c>
      <c r="K373" s="132" t="s">
        <v>1841</v>
      </c>
      <c r="L373" s="132" t="s">
        <v>1842</v>
      </c>
      <c r="M373" s="132" t="s">
        <v>2023</v>
      </c>
      <c r="N373" s="132" t="s">
        <v>1112</v>
      </c>
      <c r="O373" s="132" t="s">
        <v>2024</v>
      </c>
      <c r="P373" s="132" t="s">
        <v>1994</v>
      </c>
      <c r="Q373" s="132" t="s">
        <v>1108</v>
      </c>
    </row>
    <row r="374" spans="1:17" x14ac:dyDescent="0.2">
      <c r="A374" t="s">
        <v>270</v>
      </c>
      <c r="B374" s="141">
        <f t="shared" si="5"/>
        <v>1.6600000000000001</v>
      </c>
      <c r="C374" s="280">
        <v>45622</v>
      </c>
      <c r="D374" s="279">
        <v>45623</v>
      </c>
      <c r="E374" s="279">
        <v>45624</v>
      </c>
      <c r="F374" s="132"/>
      <c r="G374" s="132" t="s">
        <v>1108</v>
      </c>
      <c r="H374" s="132" t="s">
        <v>373</v>
      </c>
      <c r="I374" s="132" t="s">
        <v>1100</v>
      </c>
      <c r="J374" s="132" t="s">
        <v>1840</v>
      </c>
      <c r="K374" s="132" t="s">
        <v>1848</v>
      </c>
      <c r="L374" s="132" t="s">
        <v>1849</v>
      </c>
      <c r="M374" s="132" t="s">
        <v>2025</v>
      </c>
      <c r="N374" s="132" t="s">
        <v>1117</v>
      </c>
      <c r="O374" s="132" t="s">
        <v>2026</v>
      </c>
      <c r="P374" s="132" t="s">
        <v>1994</v>
      </c>
      <c r="Q374" s="132" t="s">
        <v>1108</v>
      </c>
    </row>
    <row r="375" spans="1:17" x14ac:dyDescent="0.2">
      <c r="A375" t="s">
        <v>270</v>
      </c>
      <c r="B375" s="141">
        <f t="shared" ref="B375:B438" si="6">_xlfn.NUMBERVALUE(L375)*0.01</f>
        <v>1.6600000000000001</v>
      </c>
      <c r="C375" s="280">
        <v>45622</v>
      </c>
      <c r="D375" s="279">
        <v>45623</v>
      </c>
      <c r="E375" s="279">
        <v>45624</v>
      </c>
      <c r="F375" s="132"/>
      <c r="G375" s="132" t="s">
        <v>1108</v>
      </c>
      <c r="H375" s="132" t="s">
        <v>373</v>
      </c>
      <c r="I375" s="132" t="s">
        <v>1100</v>
      </c>
      <c r="J375" s="132" t="s">
        <v>1840</v>
      </c>
      <c r="K375" s="132" t="s">
        <v>1848</v>
      </c>
      <c r="L375" s="132" t="s">
        <v>1849</v>
      </c>
      <c r="M375" s="132" t="s">
        <v>2027</v>
      </c>
      <c r="N375" s="132" t="s">
        <v>1117</v>
      </c>
      <c r="O375" s="132" t="s">
        <v>2028</v>
      </c>
      <c r="P375" s="132" t="s">
        <v>1994</v>
      </c>
      <c r="Q375" s="132" t="s">
        <v>1108</v>
      </c>
    </row>
    <row r="376" spans="1:17" x14ac:dyDescent="0.2">
      <c r="A376" t="s">
        <v>270</v>
      </c>
      <c r="B376" s="141">
        <f t="shared" si="6"/>
        <v>1.6600000000000001</v>
      </c>
      <c r="C376" s="280">
        <v>45622</v>
      </c>
      <c r="D376" s="279">
        <v>45623</v>
      </c>
      <c r="E376" s="279">
        <v>45624</v>
      </c>
      <c r="F376" s="132"/>
      <c r="G376" s="132" t="s">
        <v>1531</v>
      </c>
      <c r="H376" s="132" t="s">
        <v>373</v>
      </c>
      <c r="I376" s="132" t="s">
        <v>1100</v>
      </c>
      <c r="J376" s="132" t="s">
        <v>1840</v>
      </c>
      <c r="K376" s="132" t="s">
        <v>1848</v>
      </c>
      <c r="L376" s="132" t="s">
        <v>1849</v>
      </c>
      <c r="M376" s="132" t="s">
        <v>2029</v>
      </c>
      <c r="N376" s="132" t="s">
        <v>1105</v>
      </c>
      <c r="O376" s="132" t="s">
        <v>2030</v>
      </c>
      <c r="P376" s="132" t="s">
        <v>1994</v>
      </c>
      <c r="Q376" s="132" t="s">
        <v>1108</v>
      </c>
    </row>
    <row r="377" spans="1:17" x14ac:dyDescent="0.2">
      <c r="A377" t="s">
        <v>270</v>
      </c>
      <c r="B377" s="141">
        <f t="shared" si="6"/>
        <v>1.6500000000000001</v>
      </c>
      <c r="C377" s="280">
        <v>45622</v>
      </c>
      <c r="D377" s="279">
        <v>45623</v>
      </c>
      <c r="E377" s="279">
        <v>45624</v>
      </c>
      <c r="F377" s="132"/>
      <c r="G377" s="132" t="s">
        <v>1108</v>
      </c>
      <c r="H377" s="132" t="s">
        <v>373</v>
      </c>
      <c r="I377" s="132" t="s">
        <v>1100</v>
      </c>
      <c r="J377" s="132" t="s">
        <v>1840</v>
      </c>
      <c r="K377" s="132" t="s">
        <v>1841</v>
      </c>
      <c r="L377" s="132" t="s">
        <v>1842</v>
      </c>
      <c r="M377" s="132" t="s">
        <v>2031</v>
      </c>
      <c r="N377" s="132" t="s">
        <v>1112</v>
      </c>
      <c r="O377" s="132" t="s">
        <v>2032</v>
      </c>
      <c r="P377" s="132" t="s">
        <v>1994</v>
      </c>
      <c r="Q377" s="132" t="s">
        <v>1108</v>
      </c>
    </row>
    <row r="378" spans="1:17" x14ac:dyDescent="0.2">
      <c r="A378" t="s">
        <v>270</v>
      </c>
      <c r="B378" s="141">
        <f t="shared" si="6"/>
        <v>1.6500000000000001</v>
      </c>
      <c r="C378" s="280">
        <v>45622</v>
      </c>
      <c r="D378" s="279">
        <v>45623</v>
      </c>
      <c r="E378" s="279">
        <v>45624</v>
      </c>
      <c r="F378" s="132"/>
      <c r="G378" s="132" t="s">
        <v>1108</v>
      </c>
      <c r="H378" s="132" t="s">
        <v>373</v>
      </c>
      <c r="I378" s="132" t="s">
        <v>1100</v>
      </c>
      <c r="J378" s="132" t="s">
        <v>1840</v>
      </c>
      <c r="K378" s="132" t="s">
        <v>1841</v>
      </c>
      <c r="L378" s="132" t="s">
        <v>1842</v>
      </c>
      <c r="M378" s="132" t="s">
        <v>2033</v>
      </c>
      <c r="N378" s="132" t="s">
        <v>1112</v>
      </c>
      <c r="O378" s="132" t="s">
        <v>2034</v>
      </c>
      <c r="P378" s="132" t="s">
        <v>1994</v>
      </c>
      <c r="Q378" s="132" t="s">
        <v>1108</v>
      </c>
    </row>
    <row r="379" spans="1:17" x14ac:dyDescent="0.2">
      <c r="A379" t="s">
        <v>270</v>
      </c>
      <c r="B379" s="141">
        <f t="shared" si="6"/>
        <v>1.6500000000000001</v>
      </c>
      <c r="C379" s="280">
        <v>45622</v>
      </c>
      <c r="D379" s="279">
        <v>45623</v>
      </c>
      <c r="E379" s="279">
        <v>45624</v>
      </c>
      <c r="F379" s="132"/>
      <c r="G379" s="132" t="s">
        <v>1108</v>
      </c>
      <c r="H379" s="132" t="s">
        <v>373</v>
      </c>
      <c r="I379" s="132" t="s">
        <v>1100</v>
      </c>
      <c r="J379" s="132" t="s">
        <v>1840</v>
      </c>
      <c r="K379" s="132" t="s">
        <v>1841</v>
      </c>
      <c r="L379" s="132" t="s">
        <v>1842</v>
      </c>
      <c r="M379" s="132" t="s">
        <v>2035</v>
      </c>
      <c r="N379" s="132" t="s">
        <v>1112</v>
      </c>
      <c r="O379" s="132" t="s">
        <v>2036</v>
      </c>
      <c r="P379" s="132" t="s">
        <v>1994</v>
      </c>
      <c r="Q379" s="132" t="s">
        <v>1108</v>
      </c>
    </row>
    <row r="380" spans="1:17" x14ac:dyDescent="0.2">
      <c r="A380" t="s">
        <v>270</v>
      </c>
      <c r="B380" s="141">
        <f t="shared" si="6"/>
        <v>1.6600000000000001</v>
      </c>
      <c r="C380" s="280">
        <v>45622</v>
      </c>
      <c r="D380" s="279">
        <v>45623</v>
      </c>
      <c r="E380" s="279">
        <v>45624</v>
      </c>
      <c r="F380" s="132"/>
      <c r="G380" s="132" t="s">
        <v>1108</v>
      </c>
      <c r="H380" s="132" t="s">
        <v>373</v>
      </c>
      <c r="I380" s="132" t="s">
        <v>1100</v>
      </c>
      <c r="J380" s="132" t="s">
        <v>1840</v>
      </c>
      <c r="K380" s="132" t="s">
        <v>1848</v>
      </c>
      <c r="L380" s="132" t="s">
        <v>1849</v>
      </c>
      <c r="M380" s="132" t="s">
        <v>2037</v>
      </c>
      <c r="N380" s="132" t="s">
        <v>1117</v>
      </c>
      <c r="O380" s="132" t="s">
        <v>2038</v>
      </c>
      <c r="P380" s="132" t="s">
        <v>1994</v>
      </c>
      <c r="Q380" s="132" t="s">
        <v>1108</v>
      </c>
    </row>
    <row r="381" spans="1:17" x14ac:dyDescent="0.2">
      <c r="A381" t="s">
        <v>271</v>
      </c>
      <c r="B381" s="141">
        <f t="shared" si="6"/>
        <v>3.6</v>
      </c>
      <c r="C381" s="280">
        <v>45622</v>
      </c>
      <c r="D381" s="279">
        <v>45623</v>
      </c>
      <c r="E381" s="279">
        <v>45624</v>
      </c>
      <c r="F381" s="132"/>
      <c r="G381" s="132" t="s">
        <v>1108</v>
      </c>
      <c r="H381" s="132" t="s">
        <v>373</v>
      </c>
      <c r="I381" s="132" t="s">
        <v>1100</v>
      </c>
      <c r="J381" s="132" t="s">
        <v>1853</v>
      </c>
      <c r="K381" s="132" t="s">
        <v>1755</v>
      </c>
      <c r="L381" s="132" t="s">
        <v>1962</v>
      </c>
      <c r="M381" s="132" t="s">
        <v>2039</v>
      </c>
      <c r="N381" s="132" t="s">
        <v>1112</v>
      </c>
      <c r="O381" s="132" t="s">
        <v>2040</v>
      </c>
      <c r="P381" s="132" t="s">
        <v>1994</v>
      </c>
      <c r="Q381" s="132" t="s">
        <v>1108</v>
      </c>
    </row>
    <row r="382" spans="1:17" x14ac:dyDescent="0.2">
      <c r="A382" t="s">
        <v>218</v>
      </c>
      <c r="B382" s="141">
        <f t="shared" si="6"/>
        <v>6.5600000000000005</v>
      </c>
      <c r="C382" s="280">
        <v>45623</v>
      </c>
      <c r="D382" s="279">
        <v>45624</v>
      </c>
      <c r="E382" s="279">
        <v>45624</v>
      </c>
      <c r="F382" s="132"/>
      <c r="G382" s="132" t="s">
        <v>796</v>
      </c>
      <c r="H382" s="132" t="s">
        <v>373</v>
      </c>
      <c r="I382" s="132" t="s">
        <v>1100</v>
      </c>
      <c r="J382" s="132" t="s">
        <v>2041</v>
      </c>
      <c r="K382" s="132" t="s">
        <v>2042</v>
      </c>
      <c r="L382" s="132" t="s">
        <v>2043</v>
      </c>
      <c r="M382" s="132" t="s">
        <v>2044</v>
      </c>
      <c r="N382" s="132" t="s">
        <v>1105</v>
      </c>
      <c r="O382" s="132" t="s">
        <v>2045</v>
      </c>
      <c r="P382" s="132" t="s">
        <v>1994</v>
      </c>
      <c r="Q382" s="132" t="s">
        <v>1108</v>
      </c>
    </row>
    <row r="383" spans="1:17" x14ac:dyDescent="0.2">
      <c r="A383" t="s">
        <v>271</v>
      </c>
      <c r="B383" s="141">
        <f t="shared" si="6"/>
        <v>3.6</v>
      </c>
      <c r="C383" s="280">
        <v>45623</v>
      </c>
      <c r="D383" s="279">
        <v>45623</v>
      </c>
      <c r="E383" s="279">
        <v>45624</v>
      </c>
      <c r="F383" s="132"/>
      <c r="G383" s="132" t="s">
        <v>1108</v>
      </c>
      <c r="H383" s="132" t="s">
        <v>373</v>
      </c>
      <c r="I383" s="132" t="s">
        <v>1100</v>
      </c>
      <c r="J383" s="132" t="s">
        <v>1853</v>
      </c>
      <c r="K383" s="132" t="s">
        <v>1755</v>
      </c>
      <c r="L383" s="132" t="s">
        <v>1962</v>
      </c>
      <c r="M383" s="132" t="s">
        <v>2046</v>
      </c>
      <c r="N383" s="132" t="s">
        <v>1112</v>
      </c>
      <c r="O383" s="132" t="s">
        <v>2047</v>
      </c>
      <c r="P383" s="132" t="s">
        <v>1994</v>
      </c>
      <c r="Q383" s="132" t="s">
        <v>1108</v>
      </c>
    </row>
    <row r="384" spans="1:17" x14ac:dyDescent="0.2">
      <c r="A384" t="s">
        <v>270</v>
      </c>
      <c r="B384" s="141">
        <f t="shared" si="6"/>
        <v>3.62</v>
      </c>
      <c r="C384" s="280">
        <v>45623</v>
      </c>
      <c r="D384" s="279">
        <v>45624</v>
      </c>
      <c r="E384" s="279">
        <v>45624</v>
      </c>
      <c r="F384" s="132"/>
      <c r="G384" s="132" t="s">
        <v>1108</v>
      </c>
      <c r="H384" s="132" t="s">
        <v>373</v>
      </c>
      <c r="I384" s="132" t="s">
        <v>1100</v>
      </c>
      <c r="J384" s="132" t="s">
        <v>1853</v>
      </c>
      <c r="K384" s="132" t="s">
        <v>1731</v>
      </c>
      <c r="L384" s="132" t="s">
        <v>1854</v>
      </c>
      <c r="M384" s="132" t="s">
        <v>2048</v>
      </c>
      <c r="N384" s="132" t="s">
        <v>1117</v>
      </c>
      <c r="O384" s="132" t="s">
        <v>2049</v>
      </c>
      <c r="P384" s="132" t="s">
        <v>1994</v>
      </c>
      <c r="Q384" s="132" t="s">
        <v>1108</v>
      </c>
    </row>
    <row r="385" spans="1:17" x14ac:dyDescent="0.2">
      <c r="A385" t="s">
        <v>270</v>
      </c>
      <c r="B385" s="141">
        <f t="shared" si="6"/>
        <v>1.6600000000000001</v>
      </c>
      <c r="C385" s="280">
        <v>45623</v>
      </c>
      <c r="D385" s="279">
        <v>45624</v>
      </c>
      <c r="E385" s="279">
        <v>45624</v>
      </c>
      <c r="F385" s="132"/>
      <c r="G385" s="132" t="s">
        <v>1454</v>
      </c>
      <c r="H385" s="132" t="s">
        <v>373</v>
      </c>
      <c r="I385" s="132" t="s">
        <v>1100</v>
      </c>
      <c r="J385" s="132" t="s">
        <v>1840</v>
      </c>
      <c r="K385" s="132" t="s">
        <v>1848</v>
      </c>
      <c r="L385" s="132" t="s">
        <v>1849</v>
      </c>
      <c r="M385" s="132" t="s">
        <v>2050</v>
      </c>
      <c r="N385" s="132" t="s">
        <v>1105</v>
      </c>
      <c r="O385" s="132" t="s">
        <v>2051</v>
      </c>
      <c r="P385" s="132" t="s">
        <v>1994</v>
      </c>
      <c r="Q385" s="132" t="s">
        <v>1108</v>
      </c>
    </row>
    <row r="386" spans="1:17" x14ac:dyDescent="0.2">
      <c r="A386" t="s">
        <v>219</v>
      </c>
      <c r="B386" s="141">
        <f t="shared" si="6"/>
        <v>8.4700000000000006</v>
      </c>
      <c r="C386" s="280">
        <v>45623</v>
      </c>
      <c r="D386" s="279">
        <v>45623</v>
      </c>
      <c r="E386" s="279">
        <v>45624</v>
      </c>
      <c r="F386" s="132"/>
      <c r="G386" s="132" t="s">
        <v>1108</v>
      </c>
      <c r="H386" s="132" t="s">
        <v>373</v>
      </c>
      <c r="I386" s="132" t="s">
        <v>1100</v>
      </c>
      <c r="J386" s="132" t="s">
        <v>2052</v>
      </c>
      <c r="K386" s="132" t="s">
        <v>2053</v>
      </c>
      <c r="L386" s="132" t="s">
        <v>2054</v>
      </c>
      <c r="M386" s="132" t="s">
        <v>2055</v>
      </c>
      <c r="N386" s="132" t="s">
        <v>1112</v>
      </c>
      <c r="O386" s="132" t="s">
        <v>2056</v>
      </c>
      <c r="P386" s="132" t="s">
        <v>1994</v>
      </c>
      <c r="Q386" s="132" t="s">
        <v>1108</v>
      </c>
    </row>
    <row r="387" spans="1:17" x14ac:dyDescent="0.2">
      <c r="A387" t="s">
        <v>270</v>
      </c>
      <c r="B387" s="141">
        <f t="shared" si="6"/>
        <v>1.6600000000000001</v>
      </c>
      <c r="C387" s="280">
        <v>45623</v>
      </c>
      <c r="D387" s="279">
        <v>45624</v>
      </c>
      <c r="E387" s="279">
        <v>45624</v>
      </c>
      <c r="F387" s="132"/>
      <c r="G387" s="132" t="s">
        <v>2057</v>
      </c>
      <c r="H387" s="132" t="s">
        <v>373</v>
      </c>
      <c r="I387" s="132" t="s">
        <v>1100</v>
      </c>
      <c r="J387" s="132" t="s">
        <v>1840</v>
      </c>
      <c r="K387" s="132" t="s">
        <v>1848</v>
      </c>
      <c r="L387" s="132" t="s">
        <v>1849</v>
      </c>
      <c r="M387" s="132" t="s">
        <v>2058</v>
      </c>
      <c r="N387" s="132" t="s">
        <v>1105</v>
      </c>
      <c r="O387" s="132" t="s">
        <v>2059</v>
      </c>
      <c r="P387" s="132" t="s">
        <v>1994</v>
      </c>
      <c r="Q387" s="132" t="s">
        <v>1108</v>
      </c>
    </row>
    <row r="388" spans="1:17" x14ac:dyDescent="0.2">
      <c r="A388" t="s">
        <v>218</v>
      </c>
      <c r="B388" s="141">
        <f t="shared" si="6"/>
        <v>6.5600000000000005</v>
      </c>
      <c r="C388" s="280">
        <v>45623</v>
      </c>
      <c r="D388" s="279">
        <v>45624</v>
      </c>
      <c r="E388" s="279">
        <v>45624</v>
      </c>
      <c r="F388" s="132"/>
      <c r="G388" s="132" t="s">
        <v>1561</v>
      </c>
      <c r="H388" s="132" t="s">
        <v>373</v>
      </c>
      <c r="I388" s="132" t="s">
        <v>1100</v>
      </c>
      <c r="J388" s="132" t="s">
        <v>2041</v>
      </c>
      <c r="K388" s="132" t="s">
        <v>2042</v>
      </c>
      <c r="L388" s="132" t="s">
        <v>2043</v>
      </c>
      <c r="M388" s="132" t="s">
        <v>2060</v>
      </c>
      <c r="N388" s="132" t="s">
        <v>1105</v>
      </c>
      <c r="O388" s="132" t="s">
        <v>2061</v>
      </c>
      <c r="P388" s="132" t="s">
        <v>1994</v>
      </c>
      <c r="Q388" s="132" t="s">
        <v>1108</v>
      </c>
    </row>
    <row r="389" spans="1:17" x14ac:dyDescent="0.2">
      <c r="A389" t="s">
        <v>270</v>
      </c>
      <c r="B389" s="141">
        <f t="shared" si="6"/>
        <v>1.6600000000000001</v>
      </c>
      <c r="C389" s="280">
        <v>45623</v>
      </c>
      <c r="D389" s="279">
        <v>45624</v>
      </c>
      <c r="E389" s="279">
        <v>45624</v>
      </c>
      <c r="F389" s="132"/>
      <c r="G389" s="132" t="s">
        <v>1449</v>
      </c>
      <c r="H389" s="132" t="s">
        <v>373</v>
      </c>
      <c r="I389" s="132" t="s">
        <v>1100</v>
      </c>
      <c r="J389" s="132" t="s">
        <v>1840</v>
      </c>
      <c r="K389" s="132" t="s">
        <v>1848</v>
      </c>
      <c r="L389" s="132" t="s">
        <v>1849</v>
      </c>
      <c r="M389" s="132" t="s">
        <v>2062</v>
      </c>
      <c r="N389" s="132" t="s">
        <v>1105</v>
      </c>
      <c r="O389" s="132" t="s">
        <v>2063</v>
      </c>
      <c r="P389" s="132" t="s">
        <v>1994</v>
      </c>
      <c r="Q389" s="132" t="s">
        <v>1108</v>
      </c>
    </row>
    <row r="390" spans="1:17" x14ac:dyDescent="0.2">
      <c r="A390" t="s">
        <v>218</v>
      </c>
      <c r="B390" s="141">
        <f t="shared" si="6"/>
        <v>6.5600000000000005</v>
      </c>
      <c r="C390" s="280">
        <v>45623</v>
      </c>
      <c r="D390" s="279">
        <v>45624</v>
      </c>
      <c r="E390" s="279">
        <v>45624</v>
      </c>
      <c r="F390" s="132"/>
      <c r="G390" s="132" t="s">
        <v>1108</v>
      </c>
      <c r="H390" s="132" t="s">
        <v>373</v>
      </c>
      <c r="I390" s="132" t="s">
        <v>1100</v>
      </c>
      <c r="J390" s="132" t="s">
        <v>2041</v>
      </c>
      <c r="K390" s="132" t="s">
        <v>2042</v>
      </c>
      <c r="L390" s="132" t="s">
        <v>2043</v>
      </c>
      <c r="M390" s="132" t="s">
        <v>2064</v>
      </c>
      <c r="N390" s="132" t="s">
        <v>1117</v>
      </c>
      <c r="O390" s="132" t="s">
        <v>2065</v>
      </c>
      <c r="P390" s="132" t="s">
        <v>1994</v>
      </c>
      <c r="Q390" s="132" t="s">
        <v>1108</v>
      </c>
    </row>
    <row r="391" spans="1:17" x14ac:dyDescent="0.2">
      <c r="A391" t="s">
        <v>218</v>
      </c>
      <c r="B391" s="141">
        <f t="shared" si="6"/>
        <v>6.5200000000000005</v>
      </c>
      <c r="C391" s="280">
        <v>45623</v>
      </c>
      <c r="D391" s="279">
        <v>45623</v>
      </c>
      <c r="E391" s="279">
        <v>45624</v>
      </c>
      <c r="F391" s="132"/>
      <c r="G391" s="132" t="s">
        <v>1108</v>
      </c>
      <c r="H391" s="132" t="s">
        <v>373</v>
      </c>
      <c r="I391" s="132" t="s">
        <v>1100</v>
      </c>
      <c r="J391" s="132" t="s">
        <v>2041</v>
      </c>
      <c r="K391" s="132" t="s">
        <v>2066</v>
      </c>
      <c r="L391" s="132" t="s">
        <v>2067</v>
      </c>
      <c r="M391" s="132" t="s">
        <v>2068</v>
      </c>
      <c r="N391" s="132" t="s">
        <v>1112</v>
      </c>
      <c r="O391" s="132" t="s">
        <v>2069</v>
      </c>
      <c r="P391" s="132" t="s">
        <v>1994</v>
      </c>
      <c r="Q391" s="132" t="s">
        <v>1108</v>
      </c>
    </row>
    <row r="392" spans="1:17" x14ac:dyDescent="0.2">
      <c r="A392" t="s">
        <v>270</v>
      </c>
      <c r="B392" s="141">
        <f t="shared" si="6"/>
        <v>1.6600000000000001</v>
      </c>
      <c r="C392" s="280">
        <v>45623</v>
      </c>
      <c r="D392" s="279">
        <v>45624</v>
      </c>
      <c r="E392" s="279">
        <v>45624</v>
      </c>
      <c r="F392" s="132"/>
      <c r="G392" s="132" t="s">
        <v>1320</v>
      </c>
      <c r="H392" s="132" t="s">
        <v>373</v>
      </c>
      <c r="I392" s="132" t="s">
        <v>1100</v>
      </c>
      <c r="J392" s="132" t="s">
        <v>1840</v>
      </c>
      <c r="K392" s="132" t="s">
        <v>1848</v>
      </c>
      <c r="L392" s="132" t="s">
        <v>1849</v>
      </c>
      <c r="M392" s="132" t="s">
        <v>2070</v>
      </c>
      <c r="N392" s="132" t="s">
        <v>1105</v>
      </c>
      <c r="O392" s="132" t="s">
        <v>2071</v>
      </c>
      <c r="P392" s="132" t="s">
        <v>1994</v>
      </c>
      <c r="Q392" s="132" t="s">
        <v>1108</v>
      </c>
    </row>
    <row r="393" spans="1:17" x14ac:dyDescent="0.2">
      <c r="A393" t="s">
        <v>218</v>
      </c>
      <c r="B393" s="141">
        <f t="shared" si="6"/>
        <v>6.5200000000000005</v>
      </c>
      <c r="C393" s="280">
        <v>45623</v>
      </c>
      <c r="D393" s="279">
        <v>45623</v>
      </c>
      <c r="E393" s="279">
        <v>45624</v>
      </c>
      <c r="F393" s="132"/>
      <c r="G393" s="132" t="s">
        <v>1108</v>
      </c>
      <c r="H393" s="132" t="s">
        <v>373</v>
      </c>
      <c r="I393" s="132" t="s">
        <v>1100</v>
      </c>
      <c r="J393" s="132" t="s">
        <v>2041</v>
      </c>
      <c r="K393" s="132" t="s">
        <v>2066</v>
      </c>
      <c r="L393" s="132" t="s">
        <v>2067</v>
      </c>
      <c r="M393" s="132" t="s">
        <v>2072</v>
      </c>
      <c r="N393" s="132" t="s">
        <v>1112</v>
      </c>
      <c r="O393" s="132" t="s">
        <v>2073</v>
      </c>
      <c r="P393" s="132" t="s">
        <v>1994</v>
      </c>
      <c r="Q393" s="132" t="s">
        <v>1108</v>
      </c>
    </row>
    <row r="394" spans="1:17" x14ac:dyDescent="0.2">
      <c r="A394" t="s">
        <v>218</v>
      </c>
      <c r="B394" s="141">
        <f t="shared" si="6"/>
        <v>6.5200000000000005</v>
      </c>
      <c r="C394" s="280">
        <v>45623</v>
      </c>
      <c r="D394" s="279">
        <v>45623</v>
      </c>
      <c r="E394" s="279">
        <v>45624</v>
      </c>
      <c r="F394" s="132"/>
      <c r="G394" s="132" t="s">
        <v>1108</v>
      </c>
      <c r="H394" s="132" t="s">
        <v>373</v>
      </c>
      <c r="I394" s="132" t="s">
        <v>1100</v>
      </c>
      <c r="J394" s="132" t="s">
        <v>2041</v>
      </c>
      <c r="K394" s="132" t="s">
        <v>2066</v>
      </c>
      <c r="L394" s="132" t="s">
        <v>2067</v>
      </c>
      <c r="M394" s="132" t="s">
        <v>2074</v>
      </c>
      <c r="N394" s="132" t="s">
        <v>1112</v>
      </c>
      <c r="O394" s="132" t="s">
        <v>2075</v>
      </c>
      <c r="P394" s="132" t="s">
        <v>1994</v>
      </c>
      <c r="Q394" s="132" t="s">
        <v>1108</v>
      </c>
    </row>
    <row r="395" spans="1:17" x14ac:dyDescent="0.2">
      <c r="A395" t="s">
        <v>219</v>
      </c>
      <c r="B395" s="141">
        <f t="shared" si="6"/>
        <v>8.4700000000000006</v>
      </c>
      <c r="C395" s="280">
        <v>45623</v>
      </c>
      <c r="D395" s="279">
        <v>45623</v>
      </c>
      <c r="E395" s="279">
        <v>45624</v>
      </c>
      <c r="F395" s="132"/>
      <c r="G395" s="132" t="s">
        <v>1108</v>
      </c>
      <c r="H395" s="132" t="s">
        <v>373</v>
      </c>
      <c r="I395" s="132" t="s">
        <v>1100</v>
      </c>
      <c r="J395" s="132" t="s">
        <v>2052</v>
      </c>
      <c r="K395" s="132" t="s">
        <v>2053</v>
      </c>
      <c r="L395" s="132" t="s">
        <v>2054</v>
      </c>
      <c r="M395" s="132" t="s">
        <v>2076</v>
      </c>
      <c r="N395" s="132" t="s">
        <v>1112</v>
      </c>
      <c r="O395" s="132" t="s">
        <v>2077</v>
      </c>
      <c r="P395" s="132" t="s">
        <v>1994</v>
      </c>
      <c r="Q395" s="132" t="s">
        <v>1108</v>
      </c>
    </row>
    <row r="396" spans="1:17" x14ac:dyDescent="0.2">
      <c r="A396" t="s">
        <v>270</v>
      </c>
      <c r="B396" s="141">
        <f t="shared" si="6"/>
        <v>1.6600000000000001</v>
      </c>
      <c r="C396" s="280">
        <v>45623</v>
      </c>
      <c r="D396" s="279">
        <v>45624</v>
      </c>
      <c r="E396" s="279">
        <v>45624</v>
      </c>
      <c r="F396" s="132"/>
      <c r="G396" s="132" t="s">
        <v>1463</v>
      </c>
      <c r="H396" s="132" t="s">
        <v>373</v>
      </c>
      <c r="I396" s="132" t="s">
        <v>1100</v>
      </c>
      <c r="J396" s="132" t="s">
        <v>1840</v>
      </c>
      <c r="K396" s="132" t="s">
        <v>1848</v>
      </c>
      <c r="L396" s="132" t="s">
        <v>1849</v>
      </c>
      <c r="M396" s="132" t="s">
        <v>2078</v>
      </c>
      <c r="N396" s="132" t="s">
        <v>1105</v>
      </c>
      <c r="O396" s="132" t="s">
        <v>2079</v>
      </c>
      <c r="P396" s="132" t="s">
        <v>1994</v>
      </c>
      <c r="Q396" s="132" t="s">
        <v>1108</v>
      </c>
    </row>
    <row r="397" spans="1:17" x14ac:dyDescent="0.2">
      <c r="A397" t="s">
        <v>218</v>
      </c>
      <c r="B397" s="141">
        <f t="shared" si="6"/>
        <v>6.5600000000000005</v>
      </c>
      <c r="C397" s="280">
        <v>45623</v>
      </c>
      <c r="D397" s="279">
        <v>45624</v>
      </c>
      <c r="E397" s="279">
        <v>45624</v>
      </c>
      <c r="F397" s="132"/>
      <c r="G397" s="132" t="s">
        <v>2080</v>
      </c>
      <c r="H397" s="132" t="s">
        <v>373</v>
      </c>
      <c r="I397" s="132" t="s">
        <v>1100</v>
      </c>
      <c r="J397" s="132" t="s">
        <v>2041</v>
      </c>
      <c r="K397" s="132" t="s">
        <v>2042</v>
      </c>
      <c r="L397" s="132" t="s">
        <v>2043</v>
      </c>
      <c r="M397" s="132" t="s">
        <v>2081</v>
      </c>
      <c r="N397" s="132" t="s">
        <v>1105</v>
      </c>
      <c r="O397" s="132" t="s">
        <v>2082</v>
      </c>
      <c r="P397" s="132" t="s">
        <v>1994</v>
      </c>
      <c r="Q397" s="132" t="s">
        <v>1108</v>
      </c>
    </row>
    <row r="398" spans="1:17" x14ac:dyDescent="0.2">
      <c r="A398" t="s">
        <v>218</v>
      </c>
      <c r="B398" s="141">
        <f t="shared" si="6"/>
        <v>15.39</v>
      </c>
      <c r="C398" s="280">
        <v>45623</v>
      </c>
      <c r="D398" s="279">
        <v>45624</v>
      </c>
      <c r="E398" s="279">
        <v>45624</v>
      </c>
      <c r="F398" s="132"/>
      <c r="G398" s="132" t="s">
        <v>1402</v>
      </c>
      <c r="H398" s="132" t="s">
        <v>373</v>
      </c>
      <c r="I398" s="132" t="s">
        <v>1100</v>
      </c>
      <c r="J398" s="132" t="s">
        <v>2083</v>
      </c>
      <c r="K398" s="132" t="s">
        <v>2084</v>
      </c>
      <c r="L398" s="132" t="s">
        <v>2085</v>
      </c>
      <c r="M398" s="132" t="s">
        <v>2086</v>
      </c>
      <c r="N398" s="132" t="s">
        <v>1105</v>
      </c>
      <c r="O398" s="132" t="s">
        <v>2087</v>
      </c>
      <c r="P398" s="132" t="s">
        <v>1994</v>
      </c>
      <c r="Q398" s="132" t="s">
        <v>1108</v>
      </c>
    </row>
    <row r="399" spans="1:17" x14ac:dyDescent="0.2">
      <c r="A399" t="s">
        <v>218</v>
      </c>
      <c r="B399" s="141">
        <f t="shared" si="6"/>
        <v>6.5200000000000005</v>
      </c>
      <c r="C399" s="280">
        <v>45623</v>
      </c>
      <c r="D399" s="279">
        <v>45623</v>
      </c>
      <c r="E399" s="279">
        <v>45624</v>
      </c>
      <c r="F399" s="132"/>
      <c r="G399" s="132" t="s">
        <v>1108</v>
      </c>
      <c r="H399" s="132" t="s">
        <v>373</v>
      </c>
      <c r="I399" s="132" t="s">
        <v>1100</v>
      </c>
      <c r="J399" s="132" t="s">
        <v>2041</v>
      </c>
      <c r="K399" s="132" t="s">
        <v>2066</v>
      </c>
      <c r="L399" s="132" t="s">
        <v>2067</v>
      </c>
      <c r="M399" s="132" t="s">
        <v>2088</v>
      </c>
      <c r="N399" s="132" t="s">
        <v>1112</v>
      </c>
      <c r="O399" s="132" t="s">
        <v>2089</v>
      </c>
      <c r="P399" s="132" t="s">
        <v>1994</v>
      </c>
      <c r="Q399" s="132" t="s">
        <v>1108</v>
      </c>
    </row>
    <row r="400" spans="1:17" x14ac:dyDescent="0.2">
      <c r="A400" t="s">
        <v>218</v>
      </c>
      <c r="B400" s="141">
        <f t="shared" si="6"/>
        <v>6.5200000000000005</v>
      </c>
      <c r="C400" s="280">
        <v>45623</v>
      </c>
      <c r="D400" s="279">
        <v>45623</v>
      </c>
      <c r="E400" s="279">
        <v>45624</v>
      </c>
      <c r="F400" s="132"/>
      <c r="G400" s="132" t="s">
        <v>1108</v>
      </c>
      <c r="H400" s="132" t="s">
        <v>373</v>
      </c>
      <c r="I400" s="132" t="s">
        <v>1100</v>
      </c>
      <c r="J400" s="132" t="s">
        <v>2041</v>
      </c>
      <c r="K400" s="132" t="s">
        <v>2066</v>
      </c>
      <c r="L400" s="132" t="s">
        <v>2067</v>
      </c>
      <c r="M400" s="132" t="s">
        <v>2090</v>
      </c>
      <c r="N400" s="132" t="s">
        <v>1112</v>
      </c>
      <c r="O400" s="132" t="s">
        <v>2091</v>
      </c>
      <c r="P400" s="132" t="s">
        <v>1994</v>
      </c>
      <c r="Q400" s="132" t="s">
        <v>1108</v>
      </c>
    </row>
    <row r="401" spans="1:17" x14ac:dyDescent="0.2">
      <c r="A401" t="s">
        <v>219</v>
      </c>
      <c r="B401" s="141">
        <f t="shared" si="6"/>
        <v>17.25</v>
      </c>
      <c r="C401" s="280">
        <v>45623</v>
      </c>
      <c r="D401" s="279">
        <v>45623</v>
      </c>
      <c r="E401" s="279">
        <v>45624</v>
      </c>
      <c r="F401" s="132"/>
      <c r="G401" s="132" t="s">
        <v>1108</v>
      </c>
      <c r="H401" s="132" t="s">
        <v>373</v>
      </c>
      <c r="I401" s="132" t="s">
        <v>1100</v>
      </c>
      <c r="J401" s="132" t="s">
        <v>2092</v>
      </c>
      <c r="K401" s="132" t="s">
        <v>2093</v>
      </c>
      <c r="L401" s="132" t="s">
        <v>2094</v>
      </c>
      <c r="M401" s="132" t="s">
        <v>2095</v>
      </c>
      <c r="N401" s="132" t="s">
        <v>1112</v>
      </c>
      <c r="O401" s="132" t="s">
        <v>2096</v>
      </c>
      <c r="P401" s="132" t="s">
        <v>1994</v>
      </c>
      <c r="Q401" s="132" t="s">
        <v>1108</v>
      </c>
    </row>
    <row r="402" spans="1:17" x14ac:dyDescent="0.2">
      <c r="A402" t="s">
        <v>219</v>
      </c>
      <c r="B402" s="141">
        <f t="shared" si="6"/>
        <v>17.25</v>
      </c>
      <c r="C402" s="280">
        <v>45623</v>
      </c>
      <c r="D402" s="279">
        <v>45623</v>
      </c>
      <c r="E402" s="279">
        <v>45624</v>
      </c>
      <c r="F402" s="132"/>
      <c r="G402" s="132" t="s">
        <v>1108</v>
      </c>
      <c r="H402" s="132" t="s">
        <v>373</v>
      </c>
      <c r="I402" s="132" t="s">
        <v>1100</v>
      </c>
      <c r="J402" s="132" t="s">
        <v>2092</v>
      </c>
      <c r="K402" s="132" t="s">
        <v>2093</v>
      </c>
      <c r="L402" s="132" t="s">
        <v>2094</v>
      </c>
      <c r="M402" s="132" t="s">
        <v>2097</v>
      </c>
      <c r="N402" s="132" t="s">
        <v>1112</v>
      </c>
      <c r="O402" s="132" t="s">
        <v>2098</v>
      </c>
      <c r="P402" s="132" t="s">
        <v>1994</v>
      </c>
      <c r="Q402" s="132" t="s">
        <v>1108</v>
      </c>
    </row>
    <row r="403" spans="1:17" x14ac:dyDescent="0.2">
      <c r="A403" t="s">
        <v>271</v>
      </c>
      <c r="B403" s="141">
        <f t="shared" si="6"/>
        <v>3.62</v>
      </c>
      <c r="C403" s="280">
        <v>45623</v>
      </c>
      <c r="D403" s="279">
        <v>45624</v>
      </c>
      <c r="E403" s="279">
        <v>45624</v>
      </c>
      <c r="F403" s="132"/>
      <c r="G403" s="132" t="s">
        <v>1108</v>
      </c>
      <c r="H403" s="132" t="s">
        <v>373</v>
      </c>
      <c r="I403" s="132" t="s">
        <v>1100</v>
      </c>
      <c r="J403" s="132" t="s">
        <v>1853</v>
      </c>
      <c r="K403" s="132" t="s">
        <v>1731</v>
      </c>
      <c r="L403" s="132" t="s">
        <v>1854</v>
      </c>
      <c r="M403" s="132" t="s">
        <v>2099</v>
      </c>
      <c r="N403" s="132" t="s">
        <v>1117</v>
      </c>
      <c r="O403" s="132" t="s">
        <v>2100</v>
      </c>
      <c r="P403" s="132" t="s">
        <v>1994</v>
      </c>
      <c r="Q403" s="132" t="s">
        <v>1108</v>
      </c>
    </row>
    <row r="404" spans="1:17" x14ac:dyDescent="0.2">
      <c r="A404" t="s">
        <v>270</v>
      </c>
      <c r="B404" s="141">
        <f t="shared" si="6"/>
        <v>1.6500000000000001</v>
      </c>
      <c r="C404" s="280">
        <v>45623</v>
      </c>
      <c r="D404" s="279">
        <v>45623</v>
      </c>
      <c r="E404" s="279">
        <v>45624</v>
      </c>
      <c r="F404" s="132"/>
      <c r="G404" s="132" t="s">
        <v>1108</v>
      </c>
      <c r="H404" s="132" t="s">
        <v>373</v>
      </c>
      <c r="I404" s="132" t="s">
        <v>1100</v>
      </c>
      <c r="J404" s="132" t="s">
        <v>1840</v>
      </c>
      <c r="K404" s="132" t="s">
        <v>1841</v>
      </c>
      <c r="L404" s="132" t="s">
        <v>1842</v>
      </c>
      <c r="M404" s="132" t="s">
        <v>2101</v>
      </c>
      <c r="N404" s="132" t="s">
        <v>1112</v>
      </c>
      <c r="O404" s="132" t="s">
        <v>2102</v>
      </c>
      <c r="P404" s="132" t="s">
        <v>1994</v>
      </c>
      <c r="Q404" s="132" t="s">
        <v>1108</v>
      </c>
    </row>
    <row r="405" spans="1:17" x14ac:dyDescent="0.2">
      <c r="A405" t="s">
        <v>270</v>
      </c>
      <c r="B405" s="141">
        <f t="shared" si="6"/>
        <v>1.6500000000000001</v>
      </c>
      <c r="C405" s="280">
        <v>45623</v>
      </c>
      <c r="D405" s="279">
        <v>45623</v>
      </c>
      <c r="E405" s="279">
        <v>45624</v>
      </c>
      <c r="F405" s="132"/>
      <c r="G405" s="132" t="s">
        <v>1108</v>
      </c>
      <c r="H405" s="132" t="s">
        <v>373</v>
      </c>
      <c r="I405" s="132" t="s">
        <v>1100</v>
      </c>
      <c r="J405" s="132" t="s">
        <v>1840</v>
      </c>
      <c r="K405" s="132" t="s">
        <v>1841</v>
      </c>
      <c r="L405" s="132" t="s">
        <v>1842</v>
      </c>
      <c r="M405" s="132" t="s">
        <v>2103</v>
      </c>
      <c r="N405" s="132" t="s">
        <v>1112</v>
      </c>
      <c r="O405" s="132" t="s">
        <v>2104</v>
      </c>
      <c r="P405" s="132" t="s">
        <v>1994</v>
      </c>
      <c r="Q405" s="132" t="s">
        <v>1108</v>
      </c>
    </row>
    <row r="406" spans="1:17" x14ac:dyDescent="0.2">
      <c r="A406" t="s">
        <v>218</v>
      </c>
      <c r="B406" s="141">
        <f t="shared" si="6"/>
        <v>15.39</v>
      </c>
      <c r="C406" s="280">
        <v>45623</v>
      </c>
      <c r="D406" s="279">
        <v>45625</v>
      </c>
      <c r="E406" s="279">
        <v>45625</v>
      </c>
      <c r="F406" s="132"/>
      <c r="G406" s="132" t="s">
        <v>1108</v>
      </c>
      <c r="H406" s="132" t="s">
        <v>373</v>
      </c>
      <c r="I406" s="132" t="s">
        <v>1100</v>
      </c>
      <c r="J406" s="132" t="s">
        <v>2083</v>
      </c>
      <c r="K406" s="132" t="s">
        <v>2084</v>
      </c>
      <c r="L406" s="132" t="s">
        <v>2085</v>
      </c>
      <c r="M406" s="132" t="s">
        <v>2105</v>
      </c>
      <c r="N406" s="132" t="s">
        <v>1117</v>
      </c>
      <c r="O406" s="132" t="s">
        <v>2106</v>
      </c>
      <c r="P406" s="132" t="s">
        <v>2107</v>
      </c>
      <c r="Q406" s="132" t="s">
        <v>1108</v>
      </c>
    </row>
    <row r="407" spans="1:17" x14ac:dyDescent="0.2">
      <c r="A407" t="s">
        <v>270</v>
      </c>
      <c r="B407" s="141">
        <f t="shared" si="6"/>
        <v>1.6600000000000001</v>
      </c>
      <c r="C407" s="280">
        <v>45623</v>
      </c>
      <c r="D407" s="279">
        <v>45625</v>
      </c>
      <c r="E407" s="279">
        <v>45625</v>
      </c>
      <c r="F407" s="132"/>
      <c r="G407" s="132" t="s">
        <v>1108</v>
      </c>
      <c r="H407" s="132" t="s">
        <v>373</v>
      </c>
      <c r="I407" s="132" t="s">
        <v>1100</v>
      </c>
      <c r="J407" s="132" t="s">
        <v>1840</v>
      </c>
      <c r="K407" s="132" t="s">
        <v>1848</v>
      </c>
      <c r="L407" s="132" t="s">
        <v>1849</v>
      </c>
      <c r="M407" s="132" t="s">
        <v>2108</v>
      </c>
      <c r="N407" s="132" t="s">
        <v>1117</v>
      </c>
      <c r="O407" s="132" t="s">
        <v>2109</v>
      </c>
      <c r="P407" s="132" t="s">
        <v>2107</v>
      </c>
      <c r="Q407" s="132" t="s">
        <v>1108</v>
      </c>
    </row>
    <row r="408" spans="1:17" x14ac:dyDescent="0.2">
      <c r="A408" t="s">
        <v>271</v>
      </c>
      <c r="B408" s="141">
        <f t="shared" si="6"/>
        <v>3.62</v>
      </c>
      <c r="C408" s="280">
        <v>45623</v>
      </c>
      <c r="D408" s="279">
        <v>45624</v>
      </c>
      <c r="E408" s="279">
        <v>45625</v>
      </c>
      <c r="F408" s="132"/>
      <c r="G408" s="132" t="s">
        <v>1108</v>
      </c>
      <c r="H408" s="132" t="s">
        <v>373</v>
      </c>
      <c r="I408" s="132" t="s">
        <v>1100</v>
      </c>
      <c r="J408" s="132" t="s">
        <v>1853</v>
      </c>
      <c r="K408" s="132" t="s">
        <v>1731</v>
      </c>
      <c r="L408" s="132" t="s">
        <v>1854</v>
      </c>
      <c r="M408" s="132" t="s">
        <v>2110</v>
      </c>
      <c r="N408" s="132" t="s">
        <v>1117</v>
      </c>
      <c r="O408" s="132" t="s">
        <v>2111</v>
      </c>
      <c r="P408" s="132" t="s">
        <v>2107</v>
      </c>
      <c r="Q408" s="132" t="s">
        <v>1108</v>
      </c>
    </row>
    <row r="409" spans="1:17" x14ac:dyDescent="0.2">
      <c r="A409" t="s">
        <v>270</v>
      </c>
      <c r="B409" s="141">
        <f t="shared" si="6"/>
        <v>1.6600000000000001</v>
      </c>
      <c r="C409" s="280">
        <v>45623</v>
      </c>
      <c r="D409" s="279">
        <v>45625</v>
      </c>
      <c r="E409" s="279">
        <v>45625</v>
      </c>
      <c r="F409" s="132"/>
      <c r="G409" s="132" t="s">
        <v>1108</v>
      </c>
      <c r="H409" s="132" t="s">
        <v>373</v>
      </c>
      <c r="I409" s="132" t="s">
        <v>1100</v>
      </c>
      <c r="J409" s="132" t="s">
        <v>1840</v>
      </c>
      <c r="K409" s="132" t="s">
        <v>1848</v>
      </c>
      <c r="L409" s="132" t="s">
        <v>1849</v>
      </c>
      <c r="M409" s="132" t="s">
        <v>2112</v>
      </c>
      <c r="N409" s="132" t="s">
        <v>1117</v>
      </c>
      <c r="O409" s="132" t="s">
        <v>2113</v>
      </c>
      <c r="P409" s="132" t="s">
        <v>2107</v>
      </c>
      <c r="Q409" s="132" t="s">
        <v>1108</v>
      </c>
    </row>
    <row r="410" spans="1:17" x14ac:dyDescent="0.2">
      <c r="A410" t="s">
        <v>271</v>
      </c>
      <c r="B410" s="141">
        <f t="shared" si="6"/>
        <v>3.62</v>
      </c>
      <c r="C410" s="280">
        <v>45623</v>
      </c>
      <c r="D410" s="279">
        <v>45624</v>
      </c>
      <c r="E410" s="279">
        <v>45625</v>
      </c>
      <c r="F410" s="132"/>
      <c r="G410" s="132" t="s">
        <v>1108</v>
      </c>
      <c r="H410" s="132" t="s">
        <v>373</v>
      </c>
      <c r="I410" s="132" t="s">
        <v>1100</v>
      </c>
      <c r="J410" s="132" t="s">
        <v>1853</v>
      </c>
      <c r="K410" s="132" t="s">
        <v>1731</v>
      </c>
      <c r="L410" s="132" t="s">
        <v>1854</v>
      </c>
      <c r="M410" s="132" t="s">
        <v>2114</v>
      </c>
      <c r="N410" s="132" t="s">
        <v>1117</v>
      </c>
      <c r="O410" s="132" t="s">
        <v>2115</v>
      </c>
      <c r="P410" s="132" t="s">
        <v>2107</v>
      </c>
      <c r="Q410" s="132" t="s">
        <v>1108</v>
      </c>
    </row>
    <row r="411" spans="1:17" x14ac:dyDescent="0.2">
      <c r="A411" t="s">
        <v>270</v>
      </c>
      <c r="B411" s="141">
        <f t="shared" si="6"/>
        <v>1.6600000000000001</v>
      </c>
      <c r="C411" s="280">
        <v>45623</v>
      </c>
      <c r="D411" s="279">
        <v>45624</v>
      </c>
      <c r="E411" s="279">
        <v>45625</v>
      </c>
      <c r="F411" s="132"/>
      <c r="G411" s="132" t="s">
        <v>1108</v>
      </c>
      <c r="H411" s="132" t="s">
        <v>373</v>
      </c>
      <c r="I411" s="132" t="s">
        <v>1100</v>
      </c>
      <c r="J411" s="132" t="s">
        <v>1840</v>
      </c>
      <c r="K411" s="132" t="s">
        <v>1848</v>
      </c>
      <c r="L411" s="132" t="s">
        <v>1849</v>
      </c>
      <c r="M411" s="132" t="s">
        <v>2116</v>
      </c>
      <c r="N411" s="132" t="s">
        <v>1117</v>
      </c>
      <c r="O411" s="132" t="s">
        <v>2117</v>
      </c>
      <c r="P411" s="132" t="s">
        <v>2107</v>
      </c>
      <c r="Q411" s="132" t="s">
        <v>1108</v>
      </c>
    </row>
    <row r="412" spans="1:17" x14ac:dyDescent="0.2">
      <c r="A412" t="s">
        <v>271</v>
      </c>
      <c r="B412" s="141">
        <f t="shared" si="6"/>
        <v>3.6</v>
      </c>
      <c r="C412" s="280">
        <v>45623</v>
      </c>
      <c r="D412" s="279">
        <v>45624</v>
      </c>
      <c r="E412" s="279">
        <v>45625</v>
      </c>
      <c r="F412" s="132"/>
      <c r="G412" s="132" t="s">
        <v>1108</v>
      </c>
      <c r="H412" s="132" t="s">
        <v>373</v>
      </c>
      <c r="I412" s="132" t="s">
        <v>1100</v>
      </c>
      <c r="J412" s="132" t="s">
        <v>1853</v>
      </c>
      <c r="K412" s="132" t="s">
        <v>1755</v>
      </c>
      <c r="L412" s="132" t="s">
        <v>1962</v>
      </c>
      <c r="M412" s="132" t="s">
        <v>2118</v>
      </c>
      <c r="N412" s="132" t="s">
        <v>1112</v>
      </c>
      <c r="O412" s="132" t="s">
        <v>2119</v>
      </c>
      <c r="P412" s="132" t="s">
        <v>2107</v>
      </c>
      <c r="Q412" s="132" t="s">
        <v>1108</v>
      </c>
    </row>
    <row r="413" spans="1:17" x14ac:dyDescent="0.2">
      <c r="A413" t="s">
        <v>270</v>
      </c>
      <c r="B413" s="141">
        <f t="shared" si="6"/>
        <v>1.6600000000000001</v>
      </c>
      <c r="C413" s="280">
        <v>45623</v>
      </c>
      <c r="D413" s="279">
        <v>45624</v>
      </c>
      <c r="E413" s="279">
        <v>45625</v>
      </c>
      <c r="F413" s="132"/>
      <c r="G413" s="132" t="s">
        <v>1108</v>
      </c>
      <c r="H413" s="132" t="s">
        <v>373</v>
      </c>
      <c r="I413" s="132" t="s">
        <v>1100</v>
      </c>
      <c r="J413" s="132" t="s">
        <v>1840</v>
      </c>
      <c r="K413" s="132" t="s">
        <v>1848</v>
      </c>
      <c r="L413" s="132" t="s">
        <v>1849</v>
      </c>
      <c r="M413" s="132" t="s">
        <v>2120</v>
      </c>
      <c r="N413" s="132" t="s">
        <v>1117</v>
      </c>
      <c r="O413" s="132" t="s">
        <v>2121</v>
      </c>
      <c r="P413" s="132" t="s">
        <v>2107</v>
      </c>
      <c r="Q413" s="132" t="s">
        <v>1108</v>
      </c>
    </row>
    <row r="414" spans="1:17" x14ac:dyDescent="0.2">
      <c r="A414" t="s">
        <v>270</v>
      </c>
      <c r="B414" s="141">
        <f t="shared" si="6"/>
        <v>1.6600000000000001</v>
      </c>
      <c r="C414" s="280">
        <v>45623</v>
      </c>
      <c r="D414" s="279">
        <v>45624</v>
      </c>
      <c r="E414" s="279">
        <v>45625</v>
      </c>
      <c r="F414" s="132"/>
      <c r="G414" s="132" t="s">
        <v>1108</v>
      </c>
      <c r="H414" s="132" t="s">
        <v>373</v>
      </c>
      <c r="I414" s="132" t="s">
        <v>1100</v>
      </c>
      <c r="J414" s="132" t="s">
        <v>1840</v>
      </c>
      <c r="K414" s="132" t="s">
        <v>1848</v>
      </c>
      <c r="L414" s="132" t="s">
        <v>1849</v>
      </c>
      <c r="M414" s="132" t="s">
        <v>2122</v>
      </c>
      <c r="N414" s="132" t="s">
        <v>1117</v>
      </c>
      <c r="O414" s="132" t="s">
        <v>2123</v>
      </c>
      <c r="P414" s="132" t="s">
        <v>2107</v>
      </c>
      <c r="Q414" s="132" t="s">
        <v>1108</v>
      </c>
    </row>
    <row r="415" spans="1:17" x14ac:dyDescent="0.2">
      <c r="A415" t="s">
        <v>270</v>
      </c>
      <c r="B415" s="141">
        <f t="shared" si="6"/>
        <v>1.6600000000000001</v>
      </c>
      <c r="C415" s="280">
        <v>45623</v>
      </c>
      <c r="D415" s="279">
        <v>45624</v>
      </c>
      <c r="E415" s="279">
        <v>45625</v>
      </c>
      <c r="F415" s="132"/>
      <c r="G415" s="132" t="s">
        <v>1421</v>
      </c>
      <c r="H415" s="132" t="s">
        <v>373</v>
      </c>
      <c r="I415" s="132" t="s">
        <v>1100</v>
      </c>
      <c r="J415" s="132" t="s">
        <v>1840</v>
      </c>
      <c r="K415" s="132" t="s">
        <v>1848</v>
      </c>
      <c r="L415" s="132" t="s">
        <v>1849</v>
      </c>
      <c r="M415" s="132" t="s">
        <v>2124</v>
      </c>
      <c r="N415" s="132" t="s">
        <v>1105</v>
      </c>
      <c r="O415" s="132" t="s">
        <v>2125</v>
      </c>
      <c r="P415" s="132" t="s">
        <v>2107</v>
      </c>
      <c r="Q415" s="132" t="s">
        <v>1108</v>
      </c>
    </row>
    <row r="416" spans="1:17" x14ac:dyDescent="0.2">
      <c r="A416" t="s">
        <v>270</v>
      </c>
      <c r="B416" s="141">
        <f t="shared" si="6"/>
        <v>1.6600000000000001</v>
      </c>
      <c r="C416" s="280">
        <v>45623</v>
      </c>
      <c r="D416" s="279">
        <v>45624</v>
      </c>
      <c r="E416" s="279">
        <v>45625</v>
      </c>
      <c r="F416" s="132"/>
      <c r="G416" s="132" t="s">
        <v>1108</v>
      </c>
      <c r="H416" s="132" t="s">
        <v>373</v>
      </c>
      <c r="I416" s="132" t="s">
        <v>1100</v>
      </c>
      <c r="J416" s="132" t="s">
        <v>1840</v>
      </c>
      <c r="K416" s="132" t="s">
        <v>1848</v>
      </c>
      <c r="L416" s="132" t="s">
        <v>1849</v>
      </c>
      <c r="M416" s="132" t="s">
        <v>2126</v>
      </c>
      <c r="N416" s="132" t="s">
        <v>1117</v>
      </c>
      <c r="O416" s="132" t="s">
        <v>2127</v>
      </c>
      <c r="P416" s="132" t="s">
        <v>2107</v>
      </c>
      <c r="Q416" s="132" t="s">
        <v>1108</v>
      </c>
    </row>
    <row r="417" spans="1:17" x14ac:dyDescent="0.2">
      <c r="A417" t="s">
        <v>270</v>
      </c>
      <c r="B417" s="141">
        <f t="shared" si="6"/>
        <v>1.6600000000000001</v>
      </c>
      <c r="C417" s="280">
        <v>45623</v>
      </c>
      <c r="D417" s="279">
        <v>45624</v>
      </c>
      <c r="E417" s="279">
        <v>45625</v>
      </c>
      <c r="F417" s="132"/>
      <c r="G417" s="132" t="s">
        <v>1108</v>
      </c>
      <c r="H417" s="132" t="s">
        <v>373</v>
      </c>
      <c r="I417" s="132" t="s">
        <v>1100</v>
      </c>
      <c r="J417" s="132" t="s">
        <v>1840</v>
      </c>
      <c r="K417" s="132" t="s">
        <v>1848</v>
      </c>
      <c r="L417" s="132" t="s">
        <v>1849</v>
      </c>
      <c r="M417" s="132" t="s">
        <v>2128</v>
      </c>
      <c r="N417" s="132" t="s">
        <v>1117</v>
      </c>
      <c r="O417" s="132" t="s">
        <v>2129</v>
      </c>
      <c r="P417" s="132" t="s">
        <v>2107</v>
      </c>
      <c r="Q417" s="132" t="s">
        <v>1108</v>
      </c>
    </row>
    <row r="418" spans="1:17" x14ac:dyDescent="0.2">
      <c r="A418" t="s">
        <v>218</v>
      </c>
      <c r="B418" s="141">
        <f t="shared" si="6"/>
        <v>6.5600000000000005</v>
      </c>
      <c r="C418" s="280">
        <v>45623</v>
      </c>
      <c r="D418" s="279">
        <v>45624</v>
      </c>
      <c r="E418" s="279">
        <v>45625</v>
      </c>
      <c r="F418" s="132"/>
      <c r="G418" s="132" t="s">
        <v>2130</v>
      </c>
      <c r="H418" s="132" t="s">
        <v>373</v>
      </c>
      <c r="I418" s="132" t="s">
        <v>1100</v>
      </c>
      <c r="J418" s="132" t="s">
        <v>2041</v>
      </c>
      <c r="K418" s="132" t="s">
        <v>2042</v>
      </c>
      <c r="L418" s="132" t="s">
        <v>2043</v>
      </c>
      <c r="M418" s="132" t="s">
        <v>2131</v>
      </c>
      <c r="N418" s="132" t="s">
        <v>1105</v>
      </c>
      <c r="O418" s="132" t="s">
        <v>2132</v>
      </c>
      <c r="P418" s="132" t="s">
        <v>2107</v>
      </c>
      <c r="Q418" s="132" t="s">
        <v>1108</v>
      </c>
    </row>
    <row r="419" spans="1:17" x14ac:dyDescent="0.2">
      <c r="A419" t="s">
        <v>218</v>
      </c>
      <c r="B419" s="141">
        <f t="shared" si="6"/>
        <v>6.5600000000000005</v>
      </c>
      <c r="C419" s="280">
        <v>45623</v>
      </c>
      <c r="D419" s="279">
        <v>45624</v>
      </c>
      <c r="E419" s="279">
        <v>45625</v>
      </c>
      <c r="F419" s="132"/>
      <c r="G419" s="132" t="s">
        <v>1108</v>
      </c>
      <c r="H419" s="132" t="s">
        <v>373</v>
      </c>
      <c r="I419" s="132" t="s">
        <v>1100</v>
      </c>
      <c r="J419" s="132" t="s">
        <v>2041</v>
      </c>
      <c r="K419" s="132" t="s">
        <v>2042</v>
      </c>
      <c r="L419" s="132" t="s">
        <v>2043</v>
      </c>
      <c r="M419" s="132" t="s">
        <v>2133</v>
      </c>
      <c r="N419" s="132" t="s">
        <v>1117</v>
      </c>
      <c r="O419" s="132" t="s">
        <v>2134</v>
      </c>
      <c r="P419" s="132" t="s">
        <v>2107</v>
      </c>
      <c r="Q419" s="132" t="s">
        <v>1108</v>
      </c>
    </row>
    <row r="420" spans="1:17" x14ac:dyDescent="0.2">
      <c r="A420" t="s">
        <v>218</v>
      </c>
      <c r="B420" s="141">
        <f t="shared" si="6"/>
        <v>6.5200000000000005</v>
      </c>
      <c r="C420" s="280">
        <v>45623</v>
      </c>
      <c r="D420" s="279">
        <v>45624</v>
      </c>
      <c r="E420" s="279">
        <v>45625</v>
      </c>
      <c r="F420" s="132"/>
      <c r="G420" s="132" t="s">
        <v>1108</v>
      </c>
      <c r="H420" s="132" t="s">
        <v>373</v>
      </c>
      <c r="I420" s="132" t="s">
        <v>1100</v>
      </c>
      <c r="J420" s="132" t="s">
        <v>2041</v>
      </c>
      <c r="K420" s="132" t="s">
        <v>2066</v>
      </c>
      <c r="L420" s="132" t="s">
        <v>2067</v>
      </c>
      <c r="M420" s="132" t="s">
        <v>2135</v>
      </c>
      <c r="N420" s="132" t="s">
        <v>1112</v>
      </c>
      <c r="O420" s="132" t="s">
        <v>2136</v>
      </c>
      <c r="P420" s="132" t="s">
        <v>2107</v>
      </c>
      <c r="Q420" s="132" t="s">
        <v>1108</v>
      </c>
    </row>
    <row r="421" spans="1:17" x14ac:dyDescent="0.2">
      <c r="A421" t="s">
        <v>270</v>
      </c>
      <c r="B421" s="141">
        <f t="shared" si="6"/>
        <v>1.6600000000000001</v>
      </c>
      <c r="C421" s="280">
        <v>45623</v>
      </c>
      <c r="D421" s="279">
        <v>45624</v>
      </c>
      <c r="E421" s="279">
        <v>45625</v>
      </c>
      <c r="F421" s="132"/>
      <c r="G421" s="132" t="s">
        <v>1108</v>
      </c>
      <c r="H421" s="132" t="s">
        <v>373</v>
      </c>
      <c r="I421" s="132" t="s">
        <v>1100</v>
      </c>
      <c r="J421" s="132" t="s">
        <v>1840</v>
      </c>
      <c r="K421" s="132" t="s">
        <v>1848</v>
      </c>
      <c r="L421" s="132" t="s">
        <v>1849</v>
      </c>
      <c r="M421" s="132" t="s">
        <v>2137</v>
      </c>
      <c r="N421" s="132" t="s">
        <v>1117</v>
      </c>
      <c r="O421" s="132" t="s">
        <v>2138</v>
      </c>
      <c r="P421" s="132" t="s">
        <v>2107</v>
      </c>
      <c r="Q421" s="132" t="s">
        <v>1108</v>
      </c>
    </row>
    <row r="422" spans="1:17" x14ac:dyDescent="0.2">
      <c r="A422" t="s">
        <v>270</v>
      </c>
      <c r="B422" s="141">
        <f t="shared" si="6"/>
        <v>1.6600000000000001</v>
      </c>
      <c r="C422" s="280">
        <v>45623</v>
      </c>
      <c r="D422" s="279">
        <v>45624</v>
      </c>
      <c r="E422" s="279">
        <v>45625</v>
      </c>
      <c r="F422" s="132"/>
      <c r="G422" s="132" t="s">
        <v>1108</v>
      </c>
      <c r="H422" s="132" t="s">
        <v>373</v>
      </c>
      <c r="I422" s="132" t="s">
        <v>1100</v>
      </c>
      <c r="J422" s="132" t="s">
        <v>1840</v>
      </c>
      <c r="K422" s="132" t="s">
        <v>1848</v>
      </c>
      <c r="L422" s="132" t="s">
        <v>1849</v>
      </c>
      <c r="M422" s="132" t="s">
        <v>2139</v>
      </c>
      <c r="N422" s="132" t="s">
        <v>1117</v>
      </c>
      <c r="O422" s="132" t="s">
        <v>2140</v>
      </c>
      <c r="P422" s="132" t="s">
        <v>2107</v>
      </c>
      <c r="Q422" s="132" t="s">
        <v>1108</v>
      </c>
    </row>
    <row r="423" spans="1:17" x14ac:dyDescent="0.2">
      <c r="A423" t="s">
        <v>218</v>
      </c>
      <c r="B423" s="141">
        <f t="shared" si="6"/>
        <v>6.5600000000000005</v>
      </c>
      <c r="C423" s="280">
        <v>45623</v>
      </c>
      <c r="D423" s="279">
        <v>45624</v>
      </c>
      <c r="E423" s="279">
        <v>45625</v>
      </c>
      <c r="F423" s="132"/>
      <c r="G423" s="132" t="s">
        <v>1108</v>
      </c>
      <c r="H423" s="132" t="s">
        <v>373</v>
      </c>
      <c r="I423" s="132" t="s">
        <v>1100</v>
      </c>
      <c r="J423" s="132" t="s">
        <v>2041</v>
      </c>
      <c r="K423" s="132" t="s">
        <v>2042</v>
      </c>
      <c r="L423" s="132" t="s">
        <v>2043</v>
      </c>
      <c r="M423" s="132" t="s">
        <v>2141</v>
      </c>
      <c r="N423" s="132" t="s">
        <v>1117</v>
      </c>
      <c r="O423" s="132" t="s">
        <v>2142</v>
      </c>
      <c r="P423" s="132" t="s">
        <v>2107</v>
      </c>
      <c r="Q423" s="132" t="s">
        <v>1108</v>
      </c>
    </row>
    <row r="424" spans="1:17" x14ac:dyDescent="0.2">
      <c r="A424" t="s">
        <v>218</v>
      </c>
      <c r="B424" s="141">
        <f t="shared" si="6"/>
        <v>6.5600000000000005</v>
      </c>
      <c r="C424" s="280">
        <v>45623</v>
      </c>
      <c r="D424" s="279">
        <v>45624</v>
      </c>
      <c r="E424" s="279">
        <v>45625</v>
      </c>
      <c r="F424" s="132"/>
      <c r="G424" s="132" t="s">
        <v>1712</v>
      </c>
      <c r="H424" s="132" t="s">
        <v>373</v>
      </c>
      <c r="I424" s="132" t="s">
        <v>1100</v>
      </c>
      <c r="J424" s="132" t="s">
        <v>2041</v>
      </c>
      <c r="K424" s="132" t="s">
        <v>2042</v>
      </c>
      <c r="L424" s="132" t="s">
        <v>2043</v>
      </c>
      <c r="M424" s="132" t="s">
        <v>2143</v>
      </c>
      <c r="N424" s="132" t="s">
        <v>1105</v>
      </c>
      <c r="O424" s="132" t="s">
        <v>2144</v>
      </c>
      <c r="P424" s="132" t="s">
        <v>2107</v>
      </c>
      <c r="Q424" s="132" t="s">
        <v>1108</v>
      </c>
    </row>
    <row r="425" spans="1:17" x14ac:dyDescent="0.2">
      <c r="A425" t="s">
        <v>218</v>
      </c>
      <c r="B425" s="141">
        <f t="shared" si="6"/>
        <v>6.5600000000000005</v>
      </c>
      <c r="C425" s="280">
        <v>45623</v>
      </c>
      <c r="D425" s="279">
        <v>45624</v>
      </c>
      <c r="E425" s="279">
        <v>45625</v>
      </c>
      <c r="F425" s="132"/>
      <c r="G425" s="132" t="s">
        <v>1108</v>
      </c>
      <c r="H425" s="132" t="s">
        <v>373</v>
      </c>
      <c r="I425" s="132" t="s">
        <v>1100</v>
      </c>
      <c r="J425" s="132" t="s">
        <v>2041</v>
      </c>
      <c r="K425" s="132" t="s">
        <v>2042</v>
      </c>
      <c r="L425" s="132" t="s">
        <v>2043</v>
      </c>
      <c r="M425" s="132" t="s">
        <v>2145</v>
      </c>
      <c r="N425" s="132" t="s">
        <v>1117</v>
      </c>
      <c r="O425" s="132" t="s">
        <v>2146</v>
      </c>
      <c r="P425" s="132" t="s">
        <v>2107</v>
      </c>
      <c r="Q425" s="132" t="s">
        <v>1108</v>
      </c>
    </row>
    <row r="426" spans="1:17" x14ac:dyDescent="0.2">
      <c r="A426" t="s">
        <v>218</v>
      </c>
      <c r="B426" s="141">
        <f t="shared" si="6"/>
        <v>6.5600000000000005</v>
      </c>
      <c r="C426" s="280">
        <v>45623</v>
      </c>
      <c r="D426" s="279">
        <v>45624</v>
      </c>
      <c r="E426" s="279">
        <v>45625</v>
      </c>
      <c r="F426" s="132"/>
      <c r="G426" s="132" t="s">
        <v>1378</v>
      </c>
      <c r="H426" s="132" t="s">
        <v>373</v>
      </c>
      <c r="I426" s="132" t="s">
        <v>1100</v>
      </c>
      <c r="J426" s="132" t="s">
        <v>2041</v>
      </c>
      <c r="K426" s="132" t="s">
        <v>2042</v>
      </c>
      <c r="L426" s="132" t="s">
        <v>2043</v>
      </c>
      <c r="M426" s="132" t="s">
        <v>2147</v>
      </c>
      <c r="N426" s="132" t="s">
        <v>1105</v>
      </c>
      <c r="O426" s="132" t="s">
        <v>2148</v>
      </c>
      <c r="P426" s="132" t="s">
        <v>2107</v>
      </c>
      <c r="Q426" s="132" t="s">
        <v>1108</v>
      </c>
    </row>
    <row r="427" spans="1:17" x14ac:dyDescent="0.2">
      <c r="A427" t="s">
        <v>218</v>
      </c>
      <c r="B427" s="141">
        <f t="shared" si="6"/>
        <v>6.5600000000000005</v>
      </c>
      <c r="C427" s="280">
        <v>45623</v>
      </c>
      <c r="D427" s="279">
        <v>45624</v>
      </c>
      <c r="E427" s="279">
        <v>45625</v>
      </c>
      <c r="F427" s="132"/>
      <c r="G427" s="132" t="s">
        <v>1108</v>
      </c>
      <c r="H427" s="132" t="s">
        <v>373</v>
      </c>
      <c r="I427" s="132" t="s">
        <v>1100</v>
      </c>
      <c r="J427" s="132" t="s">
        <v>2041</v>
      </c>
      <c r="K427" s="132" t="s">
        <v>2042</v>
      </c>
      <c r="L427" s="132" t="s">
        <v>2043</v>
      </c>
      <c r="M427" s="132" t="s">
        <v>2149</v>
      </c>
      <c r="N427" s="132" t="s">
        <v>1117</v>
      </c>
      <c r="O427" s="132" t="s">
        <v>2150</v>
      </c>
      <c r="P427" s="132" t="s">
        <v>2107</v>
      </c>
      <c r="Q427" s="132" t="s">
        <v>1108</v>
      </c>
    </row>
    <row r="428" spans="1:17" x14ac:dyDescent="0.2">
      <c r="A428" t="s">
        <v>218</v>
      </c>
      <c r="B428" s="141">
        <f t="shared" si="6"/>
        <v>6.5600000000000005</v>
      </c>
      <c r="C428" s="280">
        <v>45623</v>
      </c>
      <c r="D428" s="279">
        <v>45624</v>
      </c>
      <c r="E428" s="279">
        <v>45625</v>
      </c>
      <c r="F428" s="132"/>
      <c r="G428" s="132" t="s">
        <v>1108</v>
      </c>
      <c r="H428" s="132" t="s">
        <v>373</v>
      </c>
      <c r="I428" s="132" t="s">
        <v>1100</v>
      </c>
      <c r="J428" s="132" t="s">
        <v>2041</v>
      </c>
      <c r="K428" s="132" t="s">
        <v>2042</v>
      </c>
      <c r="L428" s="132" t="s">
        <v>2043</v>
      </c>
      <c r="M428" s="132" t="s">
        <v>2151</v>
      </c>
      <c r="N428" s="132" t="s">
        <v>1117</v>
      </c>
      <c r="O428" s="132" t="s">
        <v>2152</v>
      </c>
      <c r="P428" s="132" t="s">
        <v>2107</v>
      </c>
      <c r="Q428" s="132" t="s">
        <v>1108</v>
      </c>
    </row>
    <row r="429" spans="1:17" x14ac:dyDescent="0.2">
      <c r="A429" t="s">
        <v>218</v>
      </c>
      <c r="B429" s="141">
        <f t="shared" si="6"/>
        <v>6.5600000000000005</v>
      </c>
      <c r="C429" s="280">
        <v>45623</v>
      </c>
      <c r="D429" s="279">
        <v>45624</v>
      </c>
      <c r="E429" s="279">
        <v>45625</v>
      </c>
      <c r="F429" s="132"/>
      <c r="G429" s="132" t="s">
        <v>1336</v>
      </c>
      <c r="H429" s="132" t="s">
        <v>373</v>
      </c>
      <c r="I429" s="132" t="s">
        <v>1100</v>
      </c>
      <c r="J429" s="132" t="s">
        <v>2041</v>
      </c>
      <c r="K429" s="132" t="s">
        <v>2042</v>
      </c>
      <c r="L429" s="132" t="s">
        <v>2043</v>
      </c>
      <c r="M429" s="132" t="s">
        <v>2153</v>
      </c>
      <c r="N429" s="132" t="s">
        <v>1105</v>
      </c>
      <c r="O429" s="132" t="s">
        <v>2154</v>
      </c>
      <c r="P429" s="132" t="s">
        <v>2107</v>
      </c>
      <c r="Q429" s="132" t="s">
        <v>1108</v>
      </c>
    </row>
    <row r="430" spans="1:17" x14ac:dyDescent="0.2">
      <c r="A430" t="s">
        <v>271</v>
      </c>
      <c r="B430" s="141">
        <f t="shared" si="6"/>
        <v>3.62</v>
      </c>
      <c r="C430" s="280">
        <v>45623</v>
      </c>
      <c r="D430" s="279">
        <v>45624</v>
      </c>
      <c r="E430" s="279">
        <v>45625</v>
      </c>
      <c r="F430" s="132"/>
      <c r="G430" s="132" t="s">
        <v>1357</v>
      </c>
      <c r="H430" s="132" t="s">
        <v>373</v>
      </c>
      <c r="I430" s="132" t="s">
        <v>1100</v>
      </c>
      <c r="J430" s="132" t="s">
        <v>1853</v>
      </c>
      <c r="K430" s="132" t="s">
        <v>1731</v>
      </c>
      <c r="L430" s="132" t="s">
        <v>1854</v>
      </c>
      <c r="M430" s="132" t="s">
        <v>2155</v>
      </c>
      <c r="N430" s="132" t="s">
        <v>1105</v>
      </c>
      <c r="O430" s="132" t="s">
        <v>2156</v>
      </c>
      <c r="P430" s="132" t="s">
        <v>2107</v>
      </c>
      <c r="Q430" s="132" t="s">
        <v>1108</v>
      </c>
    </row>
    <row r="431" spans="1:17" x14ac:dyDescent="0.2">
      <c r="A431" t="s">
        <v>270</v>
      </c>
      <c r="B431" s="141">
        <f t="shared" si="6"/>
        <v>1.6600000000000001</v>
      </c>
      <c r="C431" s="280">
        <v>45623</v>
      </c>
      <c r="D431" s="279">
        <v>45624</v>
      </c>
      <c r="E431" s="279">
        <v>45625</v>
      </c>
      <c r="F431" s="132"/>
      <c r="G431" s="132" t="s">
        <v>1683</v>
      </c>
      <c r="H431" s="132" t="s">
        <v>373</v>
      </c>
      <c r="I431" s="132" t="s">
        <v>1100</v>
      </c>
      <c r="J431" s="132" t="s">
        <v>1840</v>
      </c>
      <c r="K431" s="132" t="s">
        <v>1848</v>
      </c>
      <c r="L431" s="132" t="s">
        <v>1849</v>
      </c>
      <c r="M431" s="132" t="s">
        <v>2157</v>
      </c>
      <c r="N431" s="132" t="s">
        <v>1105</v>
      </c>
      <c r="O431" s="132" t="s">
        <v>2158</v>
      </c>
      <c r="P431" s="132" t="s">
        <v>2107</v>
      </c>
      <c r="Q431" s="132" t="s">
        <v>1108</v>
      </c>
    </row>
    <row r="432" spans="1:17" x14ac:dyDescent="0.2">
      <c r="A432" t="s">
        <v>270</v>
      </c>
      <c r="B432" s="141">
        <f t="shared" si="6"/>
        <v>1.6600000000000001</v>
      </c>
      <c r="C432" s="280">
        <v>45623</v>
      </c>
      <c r="D432" s="279">
        <v>45624</v>
      </c>
      <c r="E432" s="279">
        <v>45625</v>
      </c>
      <c r="F432" s="132"/>
      <c r="G432" s="132" t="s">
        <v>1108</v>
      </c>
      <c r="H432" s="132" t="s">
        <v>373</v>
      </c>
      <c r="I432" s="132" t="s">
        <v>1100</v>
      </c>
      <c r="J432" s="132" t="s">
        <v>1840</v>
      </c>
      <c r="K432" s="132" t="s">
        <v>1848</v>
      </c>
      <c r="L432" s="132" t="s">
        <v>1849</v>
      </c>
      <c r="M432" s="132" t="s">
        <v>2159</v>
      </c>
      <c r="N432" s="132" t="s">
        <v>1117</v>
      </c>
      <c r="O432" s="132" t="s">
        <v>2160</v>
      </c>
      <c r="P432" s="132" t="s">
        <v>2107</v>
      </c>
      <c r="Q432" s="132" t="s">
        <v>1108</v>
      </c>
    </row>
    <row r="433" spans="1:17" x14ac:dyDescent="0.2">
      <c r="A433" t="s">
        <v>218</v>
      </c>
      <c r="B433" s="141">
        <f t="shared" si="6"/>
        <v>6.5600000000000005</v>
      </c>
      <c r="C433" s="280">
        <v>45624</v>
      </c>
      <c r="D433" s="279">
        <v>45625</v>
      </c>
      <c r="E433" s="279">
        <v>45625</v>
      </c>
      <c r="F433" s="132"/>
      <c r="G433" s="132" t="s">
        <v>1217</v>
      </c>
      <c r="H433" s="132" t="s">
        <v>373</v>
      </c>
      <c r="I433" s="132" t="s">
        <v>1100</v>
      </c>
      <c r="J433" s="132" t="s">
        <v>2041</v>
      </c>
      <c r="K433" s="132" t="s">
        <v>2042</v>
      </c>
      <c r="L433" s="132" t="s">
        <v>2043</v>
      </c>
      <c r="M433" s="132" t="s">
        <v>2161</v>
      </c>
      <c r="N433" s="132" t="s">
        <v>1105</v>
      </c>
      <c r="O433" s="132" t="s">
        <v>2162</v>
      </c>
      <c r="P433" s="132" t="s">
        <v>2107</v>
      </c>
      <c r="Q433" s="132" t="s">
        <v>1108</v>
      </c>
    </row>
    <row r="434" spans="1:17" x14ac:dyDescent="0.2">
      <c r="A434" t="s">
        <v>219</v>
      </c>
      <c r="B434" s="141">
        <f t="shared" si="6"/>
        <v>8.4700000000000006</v>
      </c>
      <c r="C434" s="280">
        <v>45624</v>
      </c>
      <c r="D434" s="279">
        <v>45624</v>
      </c>
      <c r="E434" s="279">
        <v>45625</v>
      </c>
      <c r="F434" s="132"/>
      <c r="G434" s="132" t="s">
        <v>1108</v>
      </c>
      <c r="H434" s="132" t="s">
        <v>373</v>
      </c>
      <c r="I434" s="132" t="s">
        <v>1100</v>
      </c>
      <c r="J434" s="132" t="s">
        <v>2052</v>
      </c>
      <c r="K434" s="132" t="s">
        <v>2053</v>
      </c>
      <c r="L434" s="132" t="s">
        <v>2054</v>
      </c>
      <c r="M434" s="132" t="s">
        <v>2163</v>
      </c>
      <c r="N434" s="132" t="s">
        <v>1112</v>
      </c>
      <c r="O434" s="132" t="s">
        <v>2164</v>
      </c>
      <c r="P434" s="132" t="s">
        <v>2107</v>
      </c>
      <c r="Q434" s="132" t="s">
        <v>1108</v>
      </c>
    </row>
    <row r="435" spans="1:17" x14ac:dyDescent="0.2">
      <c r="A435" t="s">
        <v>218</v>
      </c>
      <c r="B435" s="141">
        <f t="shared" si="6"/>
        <v>6.5600000000000005</v>
      </c>
      <c r="C435" s="280">
        <v>45624</v>
      </c>
      <c r="D435" s="279">
        <v>45625</v>
      </c>
      <c r="E435" s="279">
        <v>45625</v>
      </c>
      <c r="F435" s="132"/>
      <c r="G435" s="132" t="s">
        <v>1108</v>
      </c>
      <c r="H435" s="132" t="s">
        <v>373</v>
      </c>
      <c r="I435" s="132" t="s">
        <v>1100</v>
      </c>
      <c r="J435" s="132" t="s">
        <v>2041</v>
      </c>
      <c r="K435" s="132" t="s">
        <v>2042</v>
      </c>
      <c r="L435" s="132" t="s">
        <v>2043</v>
      </c>
      <c r="M435" s="132" t="s">
        <v>2165</v>
      </c>
      <c r="N435" s="132" t="s">
        <v>1117</v>
      </c>
      <c r="O435" s="132" t="s">
        <v>2166</v>
      </c>
      <c r="P435" s="132" t="s">
        <v>2107</v>
      </c>
      <c r="Q435" s="132" t="s">
        <v>1108</v>
      </c>
    </row>
    <row r="436" spans="1:17" x14ac:dyDescent="0.2">
      <c r="A436" t="s">
        <v>218</v>
      </c>
      <c r="B436" s="141">
        <f t="shared" si="6"/>
        <v>6.5600000000000005</v>
      </c>
      <c r="C436" s="280">
        <v>45624</v>
      </c>
      <c r="D436" s="279">
        <v>45625</v>
      </c>
      <c r="E436" s="279">
        <v>45626</v>
      </c>
      <c r="F436" s="132"/>
      <c r="G436" s="132" t="s">
        <v>1166</v>
      </c>
      <c r="H436" s="132" t="s">
        <v>373</v>
      </c>
      <c r="I436" s="132" t="s">
        <v>1100</v>
      </c>
      <c r="J436" s="132" t="s">
        <v>2041</v>
      </c>
      <c r="K436" s="132" t="s">
        <v>2042</v>
      </c>
      <c r="L436" s="132" t="s">
        <v>2043</v>
      </c>
      <c r="M436" s="132" t="s">
        <v>2167</v>
      </c>
      <c r="N436" s="132" t="s">
        <v>1105</v>
      </c>
      <c r="O436" s="132" t="s">
        <v>2168</v>
      </c>
      <c r="P436" s="132" t="s">
        <v>2169</v>
      </c>
      <c r="Q436" s="132" t="s">
        <v>1108</v>
      </c>
    </row>
    <row r="437" spans="1:17" x14ac:dyDescent="0.2">
      <c r="A437" t="s">
        <v>219</v>
      </c>
      <c r="B437" s="141">
        <f t="shared" si="6"/>
        <v>8.5299999999999994</v>
      </c>
      <c r="C437" s="280">
        <v>45624</v>
      </c>
      <c r="D437" s="279">
        <v>45625</v>
      </c>
      <c r="E437" s="279">
        <v>45626</v>
      </c>
      <c r="F437" s="132"/>
      <c r="G437" s="132" t="s">
        <v>1108</v>
      </c>
      <c r="H437" s="132" t="s">
        <v>373</v>
      </c>
      <c r="I437" s="132" t="s">
        <v>1100</v>
      </c>
      <c r="J437" s="132" t="s">
        <v>2052</v>
      </c>
      <c r="K437" s="132" t="s">
        <v>2170</v>
      </c>
      <c r="L437" s="132" t="s">
        <v>2171</v>
      </c>
      <c r="M437" s="132" t="s">
        <v>2172</v>
      </c>
      <c r="N437" s="132" t="s">
        <v>1117</v>
      </c>
      <c r="O437" s="132" t="s">
        <v>2173</v>
      </c>
      <c r="P437" s="132" t="s">
        <v>2169</v>
      </c>
      <c r="Q437" s="132" t="s">
        <v>1108</v>
      </c>
    </row>
    <row r="438" spans="1:17" x14ac:dyDescent="0.2">
      <c r="A438" t="s">
        <v>218</v>
      </c>
      <c r="B438" s="141">
        <f t="shared" si="6"/>
        <v>6.5600000000000005</v>
      </c>
      <c r="C438" s="280">
        <v>45624</v>
      </c>
      <c r="D438" s="279">
        <v>45625</v>
      </c>
      <c r="E438" s="279">
        <v>45626</v>
      </c>
      <c r="F438" s="132"/>
      <c r="G438" s="132" t="s">
        <v>1108</v>
      </c>
      <c r="H438" s="132" t="s">
        <v>373</v>
      </c>
      <c r="I438" s="132" t="s">
        <v>1100</v>
      </c>
      <c r="J438" s="132" t="s">
        <v>2041</v>
      </c>
      <c r="K438" s="132" t="s">
        <v>2042</v>
      </c>
      <c r="L438" s="132" t="s">
        <v>2043</v>
      </c>
      <c r="M438" s="132" t="s">
        <v>2174</v>
      </c>
      <c r="N438" s="132" t="s">
        <v>1117</v>
      </c>
      <c r="O438" s="132" t="s">
        <v>2175</v>
      </c>
      <c r="P438" s="132" t="s">
        <v>2169</v>
      </c>
      <c r="Q438" s="132" t="s">
        <v>1108</v>
      </c>
    </row>
    <row r="439" spans="1:17" x14ac:dyDescent="0.2">
      <c r="A439" t="s">
        <v>218</v>
      </c>
      <c r="B439" s="141">
        <f t="shared" ref="B439:B502" si="7">_xlfn.NUMBERVALUE(L439)*0.01</f>
        <v>6.5600000000000005</v>
      </c>
      <c r="C439" s="280">
        <v>45624</v>
      </c>
      <c r="D439" s="279">
        <v>45625</v>
      </c>
      <c r="E439" s="279">
        <v>45626</v>
      </c>
      <c r="F439" s="132"/>
      <c r="G439" s="132" t="s">
        <v>1108</v>
      </c>
      <c r="H439" s="132" t="s">
        <v>373</v>
      </c>
      <c r="I439" s="132" t="s">
        <v>1100</v>
      </c>
      <c r="J439" s="132" t="s">
        <v>2041</v>
      </c>
      <c r="K439" s="132" t="s">
        <v>2042</v>
      </c>
      <c r="L439" s="132" t="s">
        <v>2043</v>
      </c>
      <c r="M439" s="132" t="s">
        <v>2176</v>
      </c>
      <c r="N439" s="132" t="s">
        <v>1117</v>
      </c>
      <c r="O439" s="132" t="s">
        <v>2177</v>
      </c>
      <c r="P439" s="132" t="s">
        <v>2169</v>
      </c>
      <c r="Q439" s="132" t="s">
        <v>1108</v>
      </c>
    </row>
    <row r="440" spans="1:17" x14ac:dyDescent="0.2">
      <c r="A440" t="s">
        <v>218</v>
      </c>
      <c r="B440" s="141">
        <f t="shared" si="7"/>
        <v>6.5200000000000005</v>
      </c>
      <c r="C440" s="280">
        <v>45625</v>
      </c>
      <c r="D440" s="279">
        <v>45625</v>
      </c>
      <c r="E440" s="279">
        <v>45626</v>
      </c>
      <c r="F440" s="132"/>
      <c r="G440" s="132" t="s">
        <v>1108</v>
      </c>
      <c r="H440" s="132" t="s">
        <v>373</v>
      </c>
      <c r="I440" s="132" t="s">
        <v>1100</v>
      </c>
      <c r="J440" s="132" t="s">
        <v>2041</v>
      </c>
      <c r="K440" s="132" t="s">
        <v>2066</v>
      </c>
      <c r="L440" s="132" t="s">
        <v>2067</v>
      </c>
      <c r="M440" s="132" t="s">
        <v>2178</v>
      </c>
      <c r="N440" s="132" t="s">
        <v>1112</v>
      </c>
      <c r="O440" s="132" t="s">
        <v>2179</v>
      </c>
      <c r="P440" s="132" t="s">
        <v>2169</v>
      </c>
      <c r="Q440" s="132" t="s">
        <v>1108</v>
      </c>
    </row>
    <row r="441" spans="1:17" x14ac:dyDescent="0.2">
      <c r="A441" t="s">
        <v>218</v>
      </c>
      <c r="B441" s="141">
        <f t="shared" si="7"/>
        <v>6.5600000000000005</v>
      </c>
      <c r="C441" s="280">
        <v>45625</v>
      </c>
      <c r="D441" s="279">
        <v>45627</v>
      </c>
      <c r="E441" s="279">
        <v>45628</v>
      </c>
      <c r="F441" s="132"/>
      <c r="G441" s="132" t="s">
        <v>1108</v>
      </c>
      <c r="H441" s="132" t="s">
        <v>373</v>
      </c>
      <c r="I441" s="132" t="s">
        <v>1100</v>
      </c>
      <c r="J441" s="132" t="s">
        <v>2041</v>
      </c>
      <c r="K441" s="132" t="s">
        <v>2042</v>
      </c>
      <c r="L441" s="132" t="s">
        <v>2043</v>
      </c>
      <c r="M441" s="132" t="s">
        <v>2180</v>
      </c>
      <c r="N441" s="132" t="s">
        <v>1117</v>
      </c>
      <c r="O441" s="132" t="s">
        <v>2181</v>
      </c>
      <c r="P441" s="132" t="s">
        <v>2182</v>
      </c>
      <c r="Q441" s="132" t="s">
        <v>1108</v>
      </c>
    </row>
    <row r="442" spans="1:17" x14ac:dyDescent="0.2">
      <c r="A442" t="s">
        <v>218</v>
      </c>
      <c r="B442" s="141">
        <f t="shared" si="7"/>
        <v>6.5600000000000005</v>
      </c>
      <c r="C442" s="280">
        <v>45625</v>
      </c>
      <c r="D442" s="279">
        <v>45627</v>
      </c>
      <c r="E442" s="279">
        <v>45628</v>
      </c>
      <c r="F442" s="132"/>
      <c r="G442" s="132" t="s">
        <v>1108</v>
      </c>
      <c r="H442" s="132" t="s">
        <v>373</v>
      </c>
      <c r="I442" s="132" t="s">
        <v>1100</v>
      </c>
      <c r="J442" s="132" t="s">
        <v>2041</v>
      </c>
      <c r="K442" s="132" t="s">
        <v>2042</v>
      </c>
      <c r="L442" s="132" t="s">
        <v>2043</v>
      </c>
      <c r="M442" s="132" t="s">
        <v>2183</v>
      </c>
      <c r="N442" s="132" t="s">
        <v>1117</v>
      </c>
      <c r="O442" s="132" t="s">
        <v>2184</v>
      </c>
      <c r="P442" s="132" t="s">
        <v>2182</v>
      </c>
      <c r="Q442" s="132" t="s">
        <v>1108</v>
      </c>
    </row>
    <row r="443" spans="1:17" x14ac:dyDescent="0.2">
      <c r="A443" t="s">
        <v>218</v>
      </c>
      <c r="B443" s="141">
        <f t="shared" si="7"/>
        <v>6.5600000000000005</v>
      </c>
      <c r="C443" s="280">
        <v>45625</v>
      </c>
      <c r="D443" s="279">
        <v>45627</v>
      </c>
      <c r="E443" s="279">
        <v>45628</v>
      </c>
      <c r="F443" s="132"/>
      <c r="G443" s="132" t="s">
        <v>1108</v>
      </c>
      <c r="H443" s="132" t="s">
        <v>373</v>
      </c>
      <c r="I443" s="132" t="s">
        <v>1100</v>
      </c>
      <c r="J443" s="132" t="s">
        <v>2041</v>
      </c>
      <c r="K443" s="132" t="s">
        <v>2042</v>
      </c>
      <c r="L443" s="132" t="s">
        <v>2043</v>
      </c>
      <c r="M443" s="132" t="s">
        <v>2185</v>
      </c>
      <c r="N443" s="132" t="s">
        <v>1117</v>
      </c>
      <c r="O443" s="132" t="s">
        <v>2186</v>
      </c>
      <c r="P443" s="132" t="s">
        <v>2182</v>
      </c>
      <c r="Q443" s="132" t="s">
        <v>1108</v>
      </c>
    </row>
    <row r="444" spans="1:17" x14ac:dyDescent="0.2">
      <c r="A444" t="s">
        <v>219</v>
      </c>
      <c r="B444" s="141">
        <f t="shared" si="7"/>
        <v>8.5299999999999994</v>
      </c>
      <c r="C444" s="280">
        <v>45625</v>
      </c>
      <c r="D444" s="279">
        <v>45627</v>
      </c>
      <c r="E444" s="279">
        <v>45628</v>
      </c>
      <c r="F444" s="132"/>
      <c r="G444" s="132" t="s">
        <v>1108</v>
      </c>
      <c r="H444" s="132" t="s">
        <v>373</v>
      </c>
      <c r="I444" s="132" t="s">
        <v>1100</v>
      </c>
      <c r="J444" s="132" t="s">
        <v>2052</v>
      </c>
      <c r="K444" s="132" t="s">
        <v>2170</v>
      </c>
      <c r="L444" s="132" t="s">
        <v>2171</v>
      </c>
      <c r="M444" s="132" t="s">
        <v>2187</v>
      </c>
      <c r="N444" s="132" t="s">
        <v>1117</v>
      </c>
      <c r="O444" s="132" t="s">
        <v>2188</v>
      </c>
      <c r="P444" s="132" t="s">
        <v>2182</v>
      </c>
      <c r="Q444" s="132" t="s">
        <v>1108</v>
      </c>
    </row>
    <row r="445" spans="1:17" x14ac:dyDescent="0.2">
      <c r="A445" t="s">
        <v>218</v>
      </c>
      <c r="B445" s="141">
        <f t="shared" si="7"/>
        <v>6.5600000000000005</v>
      </c>
      <c r="C445" s="280">
        <v>45625</v>
      </c>
      <c r="D445" s="279">
        <v>45627</v>
      </c>
      <c r="E445" s="279">
        <v>45628</v>
      </c>
      <c r="F445" s="132"/>
      <c r="G445" s="132" t="s">
        <v>1108</v>
      </c>
      <c r="H445" s="132" t="s">
        <v>373</v>
      </c>
      <c r="I445" s="132" t="s">
        <v>1100</v>
      </c>
      <c r="J445" s="132" t="s">
        <v>2041</v>
      </c>
      <c r="K445" s="132" t="s">
        <v>2042</v>
      </c>
      <c r="L445" s="132" t="s">
        <v>2043</v>
      </c>
      <c r="M445" s="132" t="s">
        <v>2189</v>
      </c>
      <c r="N445" s="132" t="s">
        <v>1117</v>
      </c>
      <c r="O445" s="132" t="s">
        <v>2190</v>
      </c>
      <c r="P445" s="132" t="s">
        <v>2182</v>
      </c>
      <c r="Q445" s="132" t="s">
        <v>1108</v>
      </c>
    </row>
    <row r="446" spans="1:17" x14ac:dyDescent="0.2">
      <c r="A446" t="s">
        <v>218</v>
      </c>
      <c r="B446" s="141">
        <f t="shared" si="7"/>
        <v>6.5600000000000005</v>
      </c>
      <c r="C446" s="280">
        <v>45625</v>
      </c>
      <c r="D446" s="279">
        <v>45627</v>
      </c>
      <c r="E446" s="279">
        <v>45628</v>
      </c>
      <c r="F446" s="132"/>
      <c r="G446" s="132" t="s">
        <v>2191</v>
      </c>
      <c r="H446" s="132" t="s">
        <v>373</v>
      </c>
      <c r="I446" s="132" t="s">
        <v>1100</v>
      </c>
      <c r="J446" s="132" t="s">
        <v>2041</v>
      </c>
      <c r="K446" s="132" t="s">
        <v>2042</v>
      </c>
      <c r="L446" s="132" t="s">
        <v>2043</v>
      </c>
      <c r="M446" s="132" t="s">
        <v>2192</v>
      </c>
      <c r="N446" s="132" t="s">
        <v>1105</v>
      </c>
      <c r="O446" s="132" t="s">
        <v>2193</v>
      </c>
      <c r="P446" s="132" t="s">
        <v>2182</v>
      </c>
      <c r="Q446" s="132" t="s">
        <v>1108</v>
      </c>
    </row>
    <row r="447" spans="1:17" x14ac:dyDescent="0.2">
      <c r="A447" t="s">
        <v>218</v>
      </c>
      <c r="B447" s="141">
        <f t="shared" si="7"/>
        <v>6.5600000000000005</v>
      </c>
      <c r="C447" s="280">
        <v>45625</v>
      </c>
      <c r="D447" s="279">
        <v>45627</v>
      </c>
      <c r="E447" s="279">
        <v>45628</v>
      </c>
      <c r="F447" s="132"/>
      <c r="G447" s="132" t="s">
        <v>1108</v>
      </c>
      <c r="H447" s="132" t="s">
        <v>373</v>
      </c>
      <c r="I447" s="132" t="s">
        <v>1100</v>
      </c>
      <c r="J447" s="132" t="s">
        <v>2041</v>
      </c>
      <c r="K447" s="132" t="s">
        <v>2042</v>
      </c>
      <c r="L447" s="132" t="s">
        <v>2043</v>
      </c>
      <c r="M447" s="132" t="s">
        <v>2194</v>
      </c>
      <c r="N447" s="132" t="s">
        <v>1117</v>
      </c>
      <c r="O447" s="132" t="s">
        <v>2195</v>
      </c>
      <c r="P447" s="132" t="s">
        <v>2182</v>
      </c>
      <c r="Q447" s="132" t="s">
        <v>1108</v>
      </c>
    </row>
    <row r="448" spans="1:17" x14ac:dyDescent="0.2">
      <c r="A448" t="s">
        <v>218</v>
      </c>
      <c r="B448" s="141">
        <f t="shared" si="7"/>
        <v>6.5600000000000005</v>
      </c>
      <c r="C448" s="280">
        <v>45625</v>
      </c>
      <c r="D448" s="279">
        <v>45627</v>
      </c>
      <c r="E448" s="279">
        <v>45628</v>
      </c>
      <c r="F448" s="132"/>
      <c r="G448" s="132" t="s">
        <v>1303</v>
      </c>
      <c r="H448" s="132" t="s">
        <v>373</v>
      </c>
      <c r="I448" s="132" t="s">
        <v>1100</v>
      </c>
      <c r="J448" s="132" t="s">
        <v>2041</v>
      </c>
      <c r="K448" s="132" t="s">
        <v>2042</v>
      </c>
      <c r="L448" s="132" t="s">
        <v>2043</v>
      </c>
      <c r="M448" s="132" t="s">
        <v>2196</v>
      </c>
      <c r="N448" s="132" t="s">
        <v>1105</v>
      </c>
      <c r="O448" s="132" t="s">
        <v>2197</v>
      </c>
      <c r="P448" s="132" t="s">
        <v>2182</v>
      </c>
      <c r="Q448" s="132" t="s">
        <v>1108</v>
      </c>
    </row>
    <row r="449" spans="1:17" x14ac:dyDescent="0.2">
      <c r="A449" t="s">
        <v>218</v>
      </c>
      <c r="B449" s="141">
        <f t="shared" si="7"/>
        <v>6.5600000000000005</v>
      </c>
      <c r="C449" s="280">
        <v>45625</v>
      </c>
      <c r="D449" s="279">
        <v>45627</v>
      </c>
      <c r="E449" s="279">
        <v>45628</v>
      </c>
      <c r="F449" s="132"/>
      <c r="G449" s="132" t="s">
        <v>1108</v>
      </c>
      <c r="H449" s="132" t="s">
        <v>373</v>
      </c>
      <c r="I449" s="132" t="s">
        <v>1100</v>
      </c>
      <c r="J449" s="132" t="s">
        <v>2041</v>
      </c>
      <c r="K449" s="132" t="s">
        <v>2042</v>
      </c>
      <c r="L449" s="132" t="s">
        <v>2043</v>
      </c>
      <c r="M449" s="132" t="s">
        <v>2198</v>
      </c>
      <c r="N449" s="132" t="s">
        <v>1117</v>
      </c>
      <c r="O449" s="132" t="s">
        <v>2199</v>
      </c>
      <c r="P449" s="132" t="s">
        <v>2182</v>
      </c>
      <c r="Q449" s="132" t="s">
        <v>1108</v>
      </c>
    </row>
    <row r="450" spans="1:17" x14ac:dyDescent="0.2">
      <c r="A450" t="s">
        <v>218</v>
      </c>
      <c r="B450" s="141">
        <f t="shared" si="7"/>
        <v>6.5600000000000005</v>
      </c>
      <c r="C450" s="280">
        <v>45625</v>
      </c>
      <c r="D450" s="279">
        <v>45627</v>
      </c>
      <c r="E450" s="279">
        <v>45628</v>
      </c>
      <c r="F450" s="132"/>
      <c r="G450" s="132" t="s">
        <v>1108</v>
      </c>
      <c r="H450" s="132" t="s">
        <v>373</v>
      </c>
      <c r="I450" s="132" t="s">
        <v>1100</v>
      </c>
      <c r="J450" s="132" t="s">
        <v>2041</v>
      </c>
      <c r="K450" s="132" t="s">
        <v>2042</v>
      </c>
      <c r="L450" s="132" t="s">
        <v>2043</v>
      </c>
      <c r="M450" s="132" t="s">
        <v>2200</v>
      </c>
      <c r="N450" s="132" t="s">
        <v>1117</v>
      </c>
      <c r="O450" s="132" t="s">
        <v>2201</v>
      </c>
      <c r="P450" s="132" t="s">
        <v>2182</v>
      </c>
      <c r="Q450" s="132" t="s">
        <v>1108</v>
      </c>
    </row>
    <row r="451" spans="1:17" x14ac:dyDescent="0.2">
      <c r="A451" t="s">
        <v>218</v>
      </c>
      <c r="B451" s="141">
        <f t="shared" si="7"/>
        <v>6.5600000000000005</v>
      </c>
      <c r="C451" s="280">
        <v>45625</v>
      </c>
      <c r="D451" s="279">
        <v>45627</v>
      </c>
      <c r="E451" s="279">
        <v>45628</v>
      </c>
      <c r="F451" s="132"/>
      <c r="G451" s="132" t="s">
        <v>1108</v>
      </c>
      <c r="H451" s="132" t="s">
        <v>373</v>
      </c>
      <c r="I451" s="132" t="s">
        <v>1100</v>
      </c>
      <c r="J451" s="132" t="s">
        <v>2041</v>
      </c>
      <c r="K451" s="132" t="s">
        <v>2042</v>
      </c>
      <c r="L451" s="132" t="s">
        <v>2043</v>
      </c>
      <c r="M451" s="132" t="s">
        <v>2202</v>
      </c>
      <c r="N451" s="132" t="s">
        <v>1117</v>
      </c>
      <c r="O451" s="132" t="s">
        <v>2203</v>
      </c>
      <c r="P451" s="132" t="s">
        <v>2182</v>
      </c>
      <c r="Q451" s="132" t="s">
        <v>1108</v>
      </c>
    </row>
    <row r="452" spans="1:17" x14ac:dyDescent="0.2">
      <c r="A452" t="s">
        <v>218</v>
      </c>
      <c r="B452" s="141">
        <f t="shared" si="7"/>
        <v>6.5600000000000005</v>
      </c>
      <c r="C452" s="280">
        <v>45625</v>
      </c>
      <c r="D452" s="279">
        <v>45627</v>
      </c>
      <c r="E452" s="279">
        <v>45628</v>
      </c>
      <c r="F452" s="132"/>
      <c r="G452" s="132" t="s">
        <v>1813</v>
      </c>
      <c r="H452" s="132" t="s">
        <v>373</v>
      </c>
      <c r="I452" s="132" t="s">
        <v>1100</v>
      </c>
      <c r="J452" s="132" t="s">
        <v>2041</v>
      </c>
      <c r="K452" s="132" t="s">
        <v>2042</v>
      </c>
      <c r="L452" s="132" t="s">
        <v>2043</v>
      </c>
      <c r="M452" s="132" t="s">
        <v>2204</v>
      </c>
      <c r="N452" s="132" t="s">
        <v>1105</v>
      </c>
      <c r="O452" s="132" t="s">
        <v>2205</v>
      </c>
      <c r="P452" s="132" t="s">
        <v>2182</v>
      </c>
      <c r="Q452" s="132" t="s">
        <v>1108</v>
      </c>
    </row>
    <row r="453" spans="1:17" x14ac:dyDescent="0.2">
      <c r="A453" t="s">
        <v>218</v>
      </c>
      <c r="B453" s="141">
        <f t="shared" si="7"/>
        <v>6.5600000000000005</v>
      </c>
      <c r="C453" s="280">
        <v>45625</v>
      </c>
      <c r="D453" s="279">
        <v>45627</v>
      </c>
      <c r="E453" s="279">
        <v>45628</v>
      </c>
      <c r="F453" s="132"/>
      <c r="G453" s="132" t="s">
        <v>1108</v>
      </c>
      <c r="H453" s="132" t="s">
        <v>373</v>
      </c>
      <c r="I453" s="132" t="s">
        <v>1100</v>
      </c>
      <c r="J453" s="132" t="s">
        <v>2041</v>
      </c>
      <c r="K453" s="132" t="s">
        <v>2042</v>
      </c>
      <c r="L453" s="132" t="s">
        <v>2043</v>
      </c>
      <c r="M453" s="132" t="s">
        <v>2207</v>
      </c>
      <c r="N453" s="132" t="s">
        <v>1117</v>
      </c>
      <c r="O453" s="132" t="s">
        <v>2208</v>
      </c>
      <c r="P453" s="132" t="s">
        <v>2182</v>
      </c>
      <c r="Q453" s="132" t="s">
        <v>1108</v>
      </c>
    </row>
    <row r="454" spans="1:17" x14ac:dyDescent="0.2">
      <c r="A454" t="s">
        <v>218</v>
      </c>
      <c r="B454" s="141">
        <f t="shared" si="7"/>
        <v>6.5600000000000005</v>
      </c>
      <c r="C454" s="280">
        <v>45625</v>
      </c>
      <c r="D454" s="279">
        <v>45627</v>
      </c>
      <c r="E454" s="279">
        <v>45628</v>
      </c>
      <c r="F454" s="132"/>
      <c r="G454" s="132" t="s">
        <v>1683</v>
      </c>
      <c r="H454" s="132" t="s">
        <v>373</v>
      </c>
      <c r="I454" s="132" t="s">
        <v>1100</v>
      </c>
      <c r="J454" s="132" t="s">
        <v>2041</v>
      </c>
      <c r="K454" s="132" t="s">
        <v>2042</v>
      </c>
      <c r="L454" s="132" t="s">
        <v>2043</v>
      </c>
      <c r="M454" s="132" t="s">
        <v>2209</v>
      </c>
      <c r="N454" s="132" t="s">
        <v>1105</v>
      </c>
      <c r="O454" s="132" t="s">
        <v>2210</v>
      </c>
      <c r="P454" s="132" t="s">
        <v>2182</v>
      </c>
      <c r="Q454" s="132" t="s">
        <v>1108</v>
      </c>
    </row>
    <row r="455" spans="1:17" x14ac:dyDescent="0.2">
      <c r="A455" t="s">
        <v>218</v>
      </c>
      <c r="B455" s="141">
        <f t="shared" si="7"/>
        <v>6.5600000000000005</v>
      </c>
      <c r="C455" s="280">
        <v>45625</v>
      </c>
      <c r="D455" s="279">
        <v>45627</v>
      </c>
      <c r="E455" s="279">
        <v>45628</v>
      </c>
      <c r="F455" s="132"/>
      <c r="G455" s="132" t="s">
        <v>1211</v>
      </c>
      <c r="H455" s="132" t="s">
        <v>373</v>
      </c>
      <c r="I455" s="132" t="s">
        <v>1100</v>
      </c>
      <c r="J455" s="132" t="s">
        <v>2041</v>
      </c>
      <c r="K455" s="132" t="s">
        <v>2042</v>
      </c>
      <c r="L455" s="132" t="s">
        <v>2043</v>
      </c>
      <c r="M455" s="132" t="s">
        <v>2211</v>
      </c>
      <c r="N455" s="132" t="s">
        <v>1105</v>
      </c>
      <c r="O455" s="132" t="s">
        <v>2212</v>
      </c>
      <c r="P455" s="132" t="s">
        <v>2182</v>
      </c>
      <c r="Q455" s="132" t="s">
        <v>1108</v>
      </c>
    </row>
    <row r="456" spans="1:17" x14ac:dyDescent="0.2">
      <c r="A456" t="s">
        <v>218</v>
      </c>
      <c r="B456" s="141">
        <f t="shared" si="7"/>
        <v>6.5600000000000005</v>
      </c>
      <c r="C456" s="280">
        <v>45626</v>
      </c>
      <c r="D456" s="279">
        <v>45627</v>
      </c>
      <c r="E456" s="279">
        <v>45628</v>
      </c>
      <c r="F456" s="132"/>
      <c r="G456" s="132" t="s">
        <v>1108</v>
      </c>
      <c r="H456" s="132" t="s">
        <v>373</v>
      </c>
      <c r="I456" s="132" t="s">
        <v>1100</v>
      </c>
      <c r="J456" s="132" t="s">
        <v>2041</v>
      </c>
      <c r="K456" s="132" t="s">
        <v>2042</v>
      </c>
      <c r="L456" s="132" t="s">
        <v>2043</v>
      </c>
      <c r="M456" s="132" t="s">
        <v>2213</v>
      </c>
      <c r="N456" s="132" t="s">
        <v>1117</v>
      </c>
      <c r="O456" s="132" t="s">
        <v>2214</v>
      </c>
      <c r="P456" s="132" t="s">
        <v>2182</v>
      </c>
      <c r="Q456" s="132" t="s">
        <v>1108</v>
      </c>
    </row>
    <row r="457" spans="1:17" x14ac:dyDescent="0.2">
      <c r="A457" t="s">
        <v>219</v>
      </c>
      <c r="B457" s="141">
        <f t="shared" si="7"/>
        <v>8.5299999999999994</v>
      </c>
      <c r="C457" s="280">
        <v>45626</v>
      </c>
      <c r="D457" s="279">
        <v>45627</v>
      </c>
      <c r="E457" s="279">
        <v>45628</v>
      </c>
      <c r="F457" s="132"/>
      <c r="G457" s="132" t="s">
        <v>1108</v>
      </c>
      <c r="H457" s="132" t="s">
        <v>373</v>
      </c>
      <c r="I457" s="132" t="s">
        <v>1100</v>
      </c>
      <c r="J457" s="132" t="s">
        <v>2052</v>
      </c>
      <c r="K457" s="132" t="s">
        <v>2170</v>
      </c>
      <c r="L457" s="132" t="s">
        <v>2171</v>
      </c>
      <c r="M457" s="132" t="s">
        <v>2215</v>
      </c>
      <c r="N457" s="132" t="s">
        <v>1117</v>
      </c>
      <c r="O457" s="132" t="s">
        <v>2216</v>
      </c>
      <c r="P457" s="132" t="s">
        <v>2182</v>
      </c>
      <c r="Q457" s="132" t="s">
        <v>1108</v>
      </c>
    </row>
    <row r="458" spans="1:17" x14ac:dyDescent="0.2">
      <c r="A458" t="s">
        <v>218</v>
      </c>
      <c r="B458" s="141">
        <f t="shared" si="7"/>
        <v>6.5600000000000005</v>
      </c>
      <c r="C458" s="280">
        <v>45626</v>
      </c>
      <c r="D458" s="279">
        <v>45627</v>
      </c>
      <c r="E458" s="279">
        <v>45628</v>
      </c>
      <c r="F458" s="132"/>
      <c r="G458" s="132" t="s">
        <v>2217</v>
      </c>
      <c r="H458" s="132" t="s">
        <v>373</v>
      </c>
      <c r="I458" s="132" t="s">
        <v>1100</v>
      </c>
      <c r="J458" s="132" t="s">
        <v>2041</v>
      </c>
      <c r="K458" s="132" t="s">
        <v>2042</v>
      </c>
      <c r="L458" s="132" t="s">
        <v>2043</v>
      </c>
      <c r="M458" s="132" t="s">
        <v>2218</v>
      </c>
      <c r="N458" s="132" t="s">
        <v>1105</v>
      </c>
      <c r="O458" s="132" t="s">
        <v>2219</v>
      </c>
      <c r="P458" s="132" t="s">
        <v>2182</v>
      </c>
      <c r="Q458" s="132" t="s">
        <v>1108</v>
      </c>
    </row>
    <row r="459" spans="1:17" x14ac:dyDescent="0.2">
      <c r="A459" t="s">
        <v>218</v>
      </c>
      <c r="B459" s="141">
        <f t="shared" si="7"/>
        <v>6.5600000000000005</v>
      </c>
      <c r="C459" s="280">
        <v>45626</v>
      </c>
      <c r="D459" s="279">
        <v>45627</v>
      </c>
      <c r="E459" s="279">
        <v>45628</v>
      </c>
      <c r="F459" s="132"/>
      <c r="G459" s="132" t="s">
        <v>2220</v>
      </c>
      <c r="H459" s="132" t="s">
        <v>373</v>
      </c>
      <c r="I459" s="132" t="s">
        <v>1100</v>
      </c>
      <c r="J459" s="132" t="s">
        <v>2041</v>
      </c>
      <c r="K459" s="132" t="s">
        <v>2042</v>
      </c>
      <c r="L459" s="132" t="s">
        <v>2043</v>
      </c>
      <c r="M459" s="132" t="s">
        <v>2221</v>
      </c>
      <c r="N459" s="132" t="s">
        <v>1105</v>
      </c>
      <c r="O459" s="132" t="s">
        <v>2222</v>
      </c>
      <c r="P459" s="132" t="s">
        <v>2182</v>
      </c>
      <c r="Q459" s="132" t="s">
        <v>1108</v>
      </c>
    </row>
    <row r="460" spans="1:17" x14ac:dyDescent="0.2">
      <c r="A460" t="s">
        <v>218</v>
      </c>
      <c r="B460" s="141">
        <f t="shared" si="7"/>
        <v>6.5600000000000005</v>
      </c>
      <c r="C460" s="280">
        <v>45626</v>
      </c>
      <c r="D460" s="279">
        <v>45627</v>
      </c>
      <c r="E460" s="279">
        <v>45628</v>
      </c>
      <c r="F460" s="132"/>
      <c r="G460" s="132" t="s">
        <v>1863</v>
      </c>
      <c r="H460" s="132" t="s">
        <v>373</v>
      </c>
      <c r="I460" s="132" t="s">
        <v>1100</v>
      </c>
      <c r="J460" s="132" t="s">
        <v>2041</v>
      </c>
      <c r="K460" s="132" t="s">
        <v>2042</v>
      </c>
      <c r="L460" s="132" t="s">
        <v>2043</v>
      </c>
      <c r="M460" s="132" t="s">
        <v>2223</v>
      </c>
      <c r="N460" s="132" t="s">
        <v>1105</v>
      </c>
      <c r="O460" s="132" t="s">
        <v>2224</v>
      </c>
      <c r="P460" s="132" t="s">
        <v>2182</v>
      </c>
      <c r="Q460" s="132" t="s">
        <v>1108</v>
      </c>
    </row>
    <row r="461" spans="1:17" x14ac:dyDescent="0.2">
      <c r="A461" t="s">
        <v>258</v>
      </c>
      <c r="B461" s="141">
        <f t="shared" si="7"/>
        <v>2.15</v>
      </c>
      <c r="C461" s="280">
        <v>45626</v>
      </c>
      <c r="D461" s="279">
        <v>45627</v>
      </c>
      <c r="E461" s="279">
        <v>45628</v>
      </c>
      <c r="F461" s="132"/>
      <c r="G461" s="132" t="s">
        <v>1108</v>
      </c>
      <c r="H461" s="132" t="s">
        <v>373</v>
      </c>
      <c r="I461" s="132" t="s">
        <v>1100</v>
      </c>
      <c r="J461" s="132" t="s">
        <v>2225</v>
      </c>
      <c r="K461" s="132" t="s">
        <v>2226</v>
      </c>
      <c r="L461" s="132" t="s">
        <v>2227</v>
      </c>
      <c r="M461" s="132" t="s">
        <v>2228</v>
      </c>
      <c r="N461" s="132" t="s">
        <v>1117</v>
      </c>
      <c r="O461" s="132" t="s">
        <v>2229</v>
      </c>
      <c r="P461" s="132" t="s">
        <v>2182</v>
      </c>
      <c r="Q461" s="132" t="s">
        <v>1108</v>
      </c>
    </row>
    <row r="462" spans="1:17" x14ac:dyDescent="0.2">
      <c r="A462" t="s">
        <v>218</v>
      </c>
      <c r="B462" s="141">
        <f t="shared" si="7"/>
        <v>6.5600000000000005</v>
      </c>
      <c r="C462" s="280">
        <v>45626</v>
      </c>
      <c r="D462" s="279">
        <v>45627</v>
      </c>
      <c r="E462" s="279">
        <v>45628</v>
      </c>
      <c r="F462" s="132"/>
      <c r="G462" s="132" t="s">
        <v>1108</v>
      </c>
      <c r="H462" s="132" t="s">
        <v>373</v>
      </c>
      <c r="I462" s="132" t="s">
        <v>1100</v>
      </c>
      <c r="J462" s="132" t="s">
        <v>2041</v>
      </c>
      <c r="K462" s="132" t="s">
        <v>2042</v>
      </c>
      <c r="L462" s="132" t="s">
        <v>2043</v>
      </c>
      <c r="M462" s="132" t="s">
        <v>2230</v>
      </c>
      <c r="N462" s="132" t="s">
        <v>1117</v>
      </c>
      <c r="O462" s="132" t="s">
        <v>2231</v>
      </c>
      <c r="P462" s="132" t="s">
        <v>2182</v>
      </c>
      <c r="Q462" s="132" t="s">
        <v>1108</v>
      </c>
    </row>
    <row r="463" spans="1:17" x14ac:dyDescent="0.2">
      <c r="A463" t="s">
        <v>258</v>
      </c>
      <c r="B463" s="141">
        <f t="shared" si="7"/>
        <v>2.15</v>
      </c>
      <c r="C463" s="280">
        <v>45626</v>
      </c>
      <c r="D463" s="279">
        <v>45627</v>
      </c>
      <c r="E463" s="279">
        <v>45628</v>
      </c>
      <c r="F463" s="132"/>
      <c r="G463" s="132" t="s">
        <v>1923</v>
      </c>
      <c r="H463" s="132" t="s">
        <v>373</v>
      </c>
      <c r="I463" s="132" t="s">
        <v>1100</v>
      </c>
      <c r="J463" s="132" t="s">
        <v>2225</v>
      </c>
      <c r="K463" s="132" t="s">
        <v>2226</v>
      </c>
      <c r="L463" s="132" t="s">
        <v>2227</v>
      </c>
      <c r="M463" s="132" t="s">
        <v>2232</v>
      </c>
      <c r="N463" s="132" t="s">
        <v>1105</v>
      </c>
      <c r="O463" s="132" t="s">
        <v>2233</v>
      </c>
      <c r="P463" s="132" t="s">
        <v>2182</v>
      </c>
      <c r="Q463" s="132" t="s">
        <v>1108</v>
      </c>
    </row>
    <row r="464" spans="1:17" x14ac:dyDescent="0.2">
      <c r="A464" t="s">
        <v>258</v>
      </c>
      <c r="B464" s="141">
        <f t="shared" si="7"/>
        <v>2.15</v>
      </c>
      <c r="C464" s="280">
        <v>45626</v>
      </c>
      <c r="D464" s="279">
        <v>45627</v>
      </c>
      <c r="E464" s="279">
        <v>45628</v>
      </c>
      <c r="F464" s="132"/>
      <c r="G464" s="132" t="s">
        <v>1108</v>
      </c>
      <c r="H464" s="132" t="s">
        <v>373</v>
      </c>
      <c r="I464" s="132" t="s">
        <v>1100</v>
      </c>
      <c r="J464" s="132" t="s">
        <v>2225</v>
      </c>
      <c r="K464" s="132" t="s">
        <v>2226</v>
      </c>
      <c r="L464" s="132" t="s">
        <v>2227</v>
      </c>
      <c r="M464" s="132" t="s">
        <v>2234</v>
      </c>
      <c r="N464" s="132" t="s">
        <v>1117</v>
      </c>
      <c r="O464" s="132" t="s">
        <v>2235</v>
      </c>
      <c r="P464" s="132" t="s">
        <v>2182</v>
      </c>
      <c r="Q464" s="132" t="s">
        <v>1108</v>
      </c>
    </row>
    <row r="465" spans="1:17" x14ac:dyDescent="0.2">
      <c r="A465" t="s">
        <v>258</v>
      </c>
      <c r="B465" s="141">
        <f t="shared" si="7"/>
        <v>2.15</v>
      </c>
      <c r="C465" s="280">
        <v>45626</v>
      </c>
      <c r="D465" s="279">
        <v>45627</v>
      </c>
      <c r="E465" s="279">
        <v>45628</v>
      </c>
      <c r="F465" s="132"/>
      <c r="G465" s="132" t="s">
        <v>1108</v>
      </c>
      <c r="H465" s="132" t="s">
        <v>373</v>
      </c>
      <c r="I465" s="132" t="s">
        <v>1100</v>
      </c>
      <c r="J465" s="132" t="s">
        <v>2225</v>
      </c>
      <c r="K465" s="132" t="s">
        <v>2226</v>
      </c>
      <c r="L465" s="132" t="s">
        <v>2227</v>
      </c>
      <c r="M465" s="132" t="s">
        <v>2236</v>
      </c>
      <c r="N465" s="132" t="s">
        <v>1117</v>
      </c>
      <c r="O465" s="132" t="s">
        <v>2237</v>
      </c>
      <c r="P465" s="132" t="s">
        <v>2182</v>
      </c>
      <c r="Q465" s="132" t="s">
        <v>1108</v>
      </c>
    </row>
    <row r="466" spans="1:17" x14ac:dyDescent="0.2">
      <c r="A466" t="s">
        <v>218</v>
      </c>
      <c r="B466" s="141">
        <f t="shared" si="7"/>
        <v>6.5600000000000005</v>
      </c>
      <c r="C466" s="280">
        <v>45626</v>
      </c>
      <c r="D466" s="279">
        <v>45627</v>
      </c>
      <c r="E466" s="279">
        <v>45628</v>
      </c>
      <c r="F466" s="132"/>
      <c r="G466" s="132" t="s">
        <v>1398</v>
      </c>
      <c r="H466" s="132" t="s">
        <v>373</v>
      </c>
      <c r="I466" s="132" t="s">
        <v>1100</v>
      </c>
      <c r="J466" s="132" t="s">
        <v>2041</v>
      </c>
      <c r="K466" s="132" t="s">
        <v>2042</v>
      </c>
      <c r="L466" s="132" t="s">
        <v>2043</v>
      </c>
      <c r="M466" s="132" t="s">
        <v>2238</v>
      </c>
      <c r="N466" s="132" t="s">
        <v>1105</v>
      </c>
      <c r="O466" s="132" t="s">
        <v>2239</v>
      </c>
      <c r="P466" s="132" t="s">
        <v>2182</v>
      </c>
      <c r="Q466" s="132" t="s">
        <v>1108</v>
      </c>
    </row>
    <row r="467" spans="1:17" x14ac:dyDescent="0.2">
      <c r="A467" t="s">
        <v>219</v>
      </c>
      <c r="B467" s="141">
        <f t="shared" si="7"/>
        <v>8.5299999999999994</v>
      </c>
      <c r="C467" s="280">
        <v>45627</v>
      </c>
      <c r="D467" s="279">
        <v>45628</v>
      </c>
      <c r="E467" s="279">
        <v>45628</v>
      </c>
      <c r="F467" s="132"/>
      <c r="G467" s="132" t="s">
        <v>1406</v>
      </c>
      <c r="H467" s="132" t="s">
        <v>373</v>
      </c>
      <c r="I467" s="132" t="s">
        <v>1100</v>
      </c>
      <c r="J467" s="132" t="s">
        <v>2052</v>
      </c>
      <c r="K467" s="132" t="s">
        <v>2170</v>
      </c>
      <c r="L467" s="132" t="s">
        <v>2171</v>
      </c>
      <c r="M467" s="132" t="s">
        <v>2240</v>
      </c>
      <c r="N467" s="132" t="s">
        <v>1105</v>
      </c>
      <c r="O467" s="132" t="s">
        <v>2241</v>
      </c>
      <c r="P467" s="132" t="s">
        <v>2182</v>
      </c>
      <c r="Q467" s="132" t="s">
        <v>1108</v>
      </c>
    </row>
    <row r="468" spans="1:17" x14ac:dyDescent="0.2">
      <c r="A468" t="s">
        <v>218</v>
      </c>
      <c r="B468" s="141">
        <f t="shared" si="7"/>
        <v>6.5600000000000005</v>
      </c>
      <c r="C468" s="280">
        <v>45627</v>
      </c>
      <c r="D468" s="279">
        <v>45628</v>
      </c>
      <c r="E468" s="279">
        <v>45628</v>
      </c>
      <c r="F468" s="132"/>
      <c r="G468" s="132" t="s">
        <v>2242</v>
      </c>
      <c r="H468" s="132" t="s">
        <v>373</v>
      </c>
      <c r="I468" s="132" t="s">
        <v>1100</v>
      </c>
      <c r="J468" s="132" t="s">
        <v>2041</v>
      </c>
      <c r="K468" s="132" t="s">
        <v>2042</v>
      </c>
      <c r="L468" s="132" t="s">
        <v>2043</v>
      </c>
      <c r="M468" s="132" t="s">
        <v>2243</v>
      </c>
      <c r="N468" s="132" t="s">
        <v>1105</v>
      </c>
      <c r="O468" s="132" t="s">
        <v>2244</v>
      </c>
      <c r="P468" s="132" t="s">
        <v>2182</v>
      </c>
      <c r="Q468" s="132" t="s">
        <v>1108</v>
      </c>
    </row>
    <row r="469" spans="1:17" x14ac:dyDescent="0.2">
      <c r="A469" t="s">
        <v>218</v>
      </c>
      <c r="B469" s="141">
        <f t="shared" si="7"/>
        <v>6.5200000000000005</v>
      </c>
      <c r="C469" s="280">
        <v>45625</v>
      </c>
      <c r="D469" s="279">
        <v>45628</v>
      </c>
      <c r="E469" s="279">
        <v>45629</v>
      </c>
      <c r="F469" s="132"/>
      <c r="G469" s="132" t="s">
        <v>1108</v>
      </c>
      <c r="H469" s="132" t="s">
        <v>373</v>
      </c>
      <c r="I469" s="132" t="s">
        <v>1100</v>
      </c>
      <c r="J469" s="132" t="s">
        <v>2041</v>
      </c>
      <c r="K469" s="132" t="s">
        <v>2066</v>
      </c>
      <c r="L469" s="132" t="s">
        <v>2067</v>
      </c>
      <c r="M469" s="132" t="s">
        <v>2245</v>
      </c>
      <c r="N469" s="132" t="s">
        <v>1112</v>
      </c>
      <c r="O469" s="132" t="s">
        <v>2246</v>
      </c>
      <c r="P469" s="132" t="s">
        <v>2247</v>
      </c>
      <c r="Q469" s="132" t="s">
        <v>1108</v>
      </c>
    </row>
    <row r="470" spans="1:17" x14ac:dyDescent="0.2">
      <c r="A470" t="s">
        <v>218</v>
      </c>
      <c r="B470" s="141">
        <f t="shared" si="7"/>
        <v>6.5200000000000005</v>
      </c>
      <c r="C470" s="280">
        <v>45625</v>
      </c>
      <c r="D470" s="279">
        <v>45628</v>
      </c>
      <c r="E470" s="279">
        <v>45629</v>
      </c>
      <c r="F470" s="132"/>
      <c r="G470" s="132" t="s">
        <v>1108</v>
      </c>
      <c r="H470" s="132" t="s">
        <v>373</v>
      </c>
      <c r="I470" s="132" t="s">
        <v>1100</v>
      </c>
      <c r="J470" s="132" t="s">
        <v>2041</v>
      </c>
      <c r="K470" s="132" t="s">
        <v>2066</v>
      </c>
      <c r="L470" s="132" t="s">
        <v>2067</v>
      </c>
      <c r="M470" s="132" t="s">
        <v>2248</v>
      </c>
      <c r="N470" s="132" t="s">
        <v>1112</v>
      </c>
      <c r="O470" s="132" t="s">
        <v>2249</v>
      </c>
      <c r="P470" s="132" t="s">
        <v>2247</v>
      </c>
      <c r="Q470" s="132" t="s">
        <v>1108</v>
      </c>
    </row>
    <row r="471" spans="1:17" x14ac:dyDescent="0.2">
      <c r="A471" t="s">
        <v>82</v>
      </c>
      <c r="B471" s="141">
        <f t="shared" si="7"/>
        <v>56.25</v>
      </c>
      <c r="C471" s="280">
        <v>45625</v>
      </c>
      <c r="D471" s="279">
        <v>45628</v>
      </c>
      <c r="E471" s="279">
        <v>45629</v>
      </c>
      <c r="F471" s="132"/>
      <c r="G471" s="132" t="s">
        <v>1108</v>
      </c>
      <c r="H471" s="132" t="s">
        <v>373</v>
      </c>
      <c r="I471" s="132" t="s">
        <v>1100</v>
      </c>
      <c r="J471" s="132" t="s">
        <v>1261</v>
      </c>
      <c r="K471" s="132" t="s">
        <v>1262</v>
      </c>
      <c r="L471" s="132" t="s">
        <v>1263</v>
      </c>
      <c r="M471" s="132" t="s">
        <v>2250</v>
      </c>
      <c r="N471" s="132" t="s">
        <v>1112</v>
      </c>
      <c r="O471" s="132" t="s">
        <v>2251</v>
      </c>
      <c r="P471" s="132" t="s">
        <v>2247</v>
      </c>
      <c r="Q471" s="132" t="s">
        <v>1108</v>
      </c>
    </row>
    <row r="472" spans="1:17" x14ac:dyDescent="0.2">
      <c r="A472" t="s">
        <v>218</v>
      </c>
      <c r="B472" s="141">
        <f t="shared" si="7"/>
        <v>6.5200000000000005</v>
      </c>
      <c r="C472" s="280">
        <v>45625</v>
      </c>
      <c r="D472" s="279">
        <v>45628</v>
      </c>
      <c r="E472" s="279">
        <v>45629</v>
      </c>
      <c r="F472" s="132"/>
      <c r="G472" s="132" t="s">
        <v>1108</v>
      </c>
      <c r="H472" s="132" t="s">
        <v>373</v>
      </c>
      <c r="I472" s="132" t="s">
        <v>1100</v>
      </c>
      <c r="J472" s="132" t="s">
        <v>2041</v>
      </c>
      <c r="K472" s="132" t="s">
        <v>2066</v>
      </c>
      <c r="L472" s="132" t="s">
        <v>2067</v>
      </c>
      <c r="M472" s="132" t="s">
        <v>2252</v>
      </c>
      <c r="N472" s="132" t="s">
        <v>1112</v>
      </c>
      <c r="O472" s="132" t="s">
        <v>2253</v>
      </c>
      <c r="P472" s="132" t="s">
        <v>2247</v>
      </c>
      <c r="Q472" s="132" t="s">
        <v>1108</v>
      </c>
    </row>
    <row r="473" spans="1:17" x14ac:dyDescent="0.2">
      <c r="A473" t="s">
        <v>218</v>
      </c>
      <c r="B473" s="141">
        <f t="shared" si="7"/>
        <v>6.5200000000000005</v>
      </c>
      <c r="C473" s="280">
        <v>45626</v>
      </c>
      <c r="D473" s="279">
        <v>45628</v>
      </c>
      <c r="E473" s="279">
        <v>45629</v>
      </c>
      <c r="F473" s="132"/>
      <c r="G473" s="132" t="s">
        <v>1108</v>
      </c>
      <c r="H473" s="132" t="s">
        <v>373</v>
      </c>
      <c r="I473" s="132" t="s">
        <v>1100</v>
      </c>
      <c r="J473" s="132" t="s">
        <v>2041</v>
      </c>
      <c r="K473" s="132" t="s">
        <v>2066</v>
      </c>
      <c r="L473" s="132" t="s">
        <v>2067</v>
      </c>
      <c r="M473" s="132" t="s">
        <v>2254</v>
      </c>
      <c r="N473" s="132" t="s">
        <v>1112</v>
      </c>
      <c r="O473" s="132" t="s">
        <v>2255</v>
      </c>
      <c r="P473" s="132" t="s">
        <v>2247</v>
      </c>
      <c r="Q473" s="132" t="s">
        <v>1108</v>
      </c>
    </row>
    <row r="474" spans="1:17" x14ac:dyDescent="0.2">
      <c r="A474" t="s">
        <v>258</v>
      </c>
      <c r="B474" s="141">
        <f t="shared" si="7"/>
        <v>2.14</v>
      </c>
      <c r="C474" s="280">
        <v>45626</v>
      </c>
      <c r="D474" s="279">
        <v>45628</v>
      </c>
      <c r="E474" s="279">
        <v>45629</v>
      </c>
      <c r="F474" s="132"/>
      <c r="G474" s="132" t="s">
        <v>1108</v>
      </c>
      <c r="H474" s="132" t="s">
        <v>373</v>
      </c>
      <c r="I474" s="132" t="s">
        <v>1100</v>
      </c>
      <c r="J474" s="132" t="s">
        <v>2225</v>
      </c>
      <c r="K474" s="132" t="s">
        <v>2256</v>
      </c>
      <c r="L474" s="132" t="s">
        <v>2257</v>
      </c>
      <c r="M474" s="132" t="s">
        <v>2258</v>
      </c>
      <c r="N474" s="132" t="s">
        <v>1112</v>
      </c>
      <c r="O474" s="132" t="s">
        <v>2259</v>
      </c>
      <c r="P474" s="132" t="s">
        <v>2247</v>
      </c>
      <c r="Q474" s="132" t="s">
        <v>1108</v>
      </c>
    </row>
    <row r="475" spans="1:17" x14ac:dyDescent="0.2">
      <c r="A475" t="s">
        <v>258</v>
      </c>
      <c r="B475" s="141">
        <f t="shared" si="7"/>
        <v>2.14</v>
      </c>
      <c r="C475" s="280">
        <v>45626</v>
      </c>
      <c r="D475" s="279">
        <v>45628</v>
      </c>
      <c r="E475" s="279">
        <v>45629</v>
      </c>
      <c r="F475" s="132"/>
      <c r="G475" s="132" t="s">
        <v>1108</v>
      </c>
      <c r="H475" s="132" t="s">
        <v>373</v>
      </c>
      <c r="I475" s="132" t="s">
        <v>1100</v>
      </c>
      <c r="J475" s="132" t="s">
        <v>2225</v>
      </c>
      <c r="K475" s="132" t="s">
        <v>2256</v>
      </c>
      <c r="L475" s="132" t="s">
        <v>2257</v>
      </c>
      <c r="M475" s="132" t="s">
        <v>2260</v>
      </c>
      <c r="N475" s="132" t="s">
        <v>1112</v>
      </c>
      <c r="O475" s="132" t="s">
        <v>2261</v>
      </c>
      <c r="P475" s="132" t="s">
        <v>2247</v>
      </c>
      <c r="Q475" s="132" t="s">
        <v>1108</v>
      </c>
    </row>
    <row r="476" spans="1:17" x14ac:dyDescent="0.2">
      <c r="A476" t="s">
        <v>218</v>
      </c>
      <c r="B476" s="141">
        <f t="shared" si="7"/>
        <v>6.5200000000000005</v>
      </c>
      <c r="C476" s="280">
        <v>45626</v>
      </c>
      <c r="D476" s="279">
        <v>45628</v>
      </c>
      <c r="E476" s="279">
        <v>45629</v>
      </c>
      <c r="F476" s="132"/>
      <c r="G476" s="132" t="s">
        <v>1108</v>
      </c>
      <c r="H476" s="132" t="s">
        <v>373</v>
      </c>
      <c r="I476" s="132" t="s">
        <v>1100</v>
      </c>
      <c r="J476" s="132" t="s">
        <v>2041</v>
      </c>
      <c r="K476" s="132" t="s">
        <v>2066</v>
      </c>
      <c r="L476" s="132" t="s">
        <v>2067</v>
      </c>
      <c r="M476" s="132" t="s">
        <v>2262</v>
      </c>
      <c r="N476" s="132" t="s">
        <v>1112</v>
      </c>
      <c r="O476" s="132" t="s">
        <v>2263</v>
      </c>
      <c r="P476" s="132" t="s">
        <v>2247</v>
      </c>
      <c r="Q476" s="132" t="s">
        <v>1108</v>
      </c>
    </row>
    <row r="477" spans="1:17" x14ac:dyDescent="0.2">
      <c r="A477" t="s">
        <v>258</v>
      </c>
      <c r="B477" s="141">
        <f t="shared" si="7"/>
        <v>6.57</v>
      </c>
      <c r="C477" s="280">
        <v>45627</v>
      </c>
      <c r="D477" s="279">
        <v>45628</v>
      </c>
      <c r="E477" s="279">
        <v>45629</v>
      </c>
      <c r="F477" s="132"/>
      <c r="G477" s="132" t="s">
        <v>1108</v>
      </c>
      <c r="H477" s="132" t="s">
        <v>373</v>
      </c>
      <c r="I477" s="132" t="s">
        <v>1100</v>
      </c>
      <c r="J477" s="132" t="s">
        <v>2264</v>
      </c>
      <c r="K477" s="132" t="s">
        <v>2042</v>
      </c>
      <c r="L477" s="132" t="s">
        <v>2265</v>
      </c>
      <c r="M477" s="132" t="s">
        <v>2266</v>
      </c>
      <c r="N477" s="132" t="s">
        <v>1117</v>
      </c>
      <c r="O477" s="132" t="s">
        <v>2267</v>
      </c>
      <c r="P477" s="132" t="s">
        <v>2247</v>
      </c>
      <c r="Q477" s="132" t="s">
        <v>1108</v>
      </c>
    </row>
    <row r="478" spans="1:17" x14ac:dyDescent="0.2">
      <c r="A478" t="s">
        <v>219</v>
      </c>
      <c r="B478" s="141">
        <f t="shared" si="7"/>
        <v>8.5299999999999994</v>
      </c>
      <c r="C478" s="280">
        <v>45627</v>
      </c>
      <c r="D478" s="279">
        <v>45628</v>
      </c>
      <c r="E478" s="279">
        <v>45629</v>
      </c>
      <c r="F478" s="132"/>
      <c r="G478" s="132" t="s">
        <v>1108</v>
      </c>
      <c r="H478" s="132" t="s">
        <v>373</v>
      </c>
      <c r="I478" s="132" t="s">
        <v>1100</v>
      </c>
      <c r="J478" s="132" t="s">
        <v>2052</v>
      </c>
      <c r="K478" s="132" t="s">
        <v>2170</v>
      </c>
      <c r="L478" s="132" t="s">
        <v>2171</v>
      </c>
      <c r="M478" s="132" t="s">
        <v>2268</v>
      </c>
      <c r="N478" s="132" t="s">
        <v>1117</v>
      </c>
      <c r="O478" s="132" t="s">
        <v>2269</v>
      </c>
      <c r="P478" s="132" t="s">
        <v>2247</v>
      </c>
      <c r="Q478" s="132" t="s">
        <v>1108</v>
      </c>
    </row>
    <row r="479" spans="1:17" x14ac:dyDescent="0.2">
      <c r="A479" t="s">
        <v>258</v>
      </c>
      <c r="B479" s="141">
        <f t="shared" si="7"/>
        <v>2.14</v>
      </c>
      <c r="C479" s="280">
        <v>45627</v>
      </c>
      <c r="D479" s="279">
        <v>45628</v>
      </c>
      <c r="E479" s="279">
        <v>45629</v>
      </c>
      <c r="F479" s="132"/>
      <c r="G479" s="132" t="s">
        <v>1108</v>
      </c>
      <c r="H479" s="132" t="s">
        <v>373</v>
      </c>
      <c r="I479" s="132" t="s">
        <v>1100</v>
      </c>
      <c r="J479" s="132" t="s">
        <v>2225</v>
      </c>
      <c r="K479" s="132" t="s">
        <v>2256</v>
      </c>
      <c r="L479" s="132" t="s">
        <v>2257</v>
      </c>
      <c r="M479" s="132" t="s">
        <v>2270</v>
      </c>
      <c r="N479" s="132" t="s">
        <v>1112</v>
      </c>
      <c r="O479" s="132" t="s">
        <v>2271</v>
      </c>
      <c r="P479" s="132" t="s">
        <v>2247</v>
      </c>
      <c r="Q479" s="132" t="s">
        <v>1108</v>
      </c>
    </row>
    <row r="480" spans="1:17" x14ac:dyDescent="0.2">
      <c r="A480" t="s">
        <v>218</v>
      </c>
      <c r="B480" s="141">
        <f t="shared" si="7"/>
        <v>6.5200000000000005</v>
      </c>
      <c r="C480" s="280">
        <v>45627</v>
      </c>
      <c r="D480" s="279">
        <v>45628</v>
      </c>
      <c r="E480" s="279">
        <v>45629</v>
      </c>
      <c r="F480" s="132"/>
      <c r="G480" s="132" t="s">
        <v>1108</v>
      </c>
      <c r="H480" s="132" t="s">
        <v>373</v>
      </c>
      <c r="I480" s="132" t="s">
        <v>1100</v>
      </c>
      <c r="J480" s="132" t="s">
        <v>2041</v>
      </c>
      <c r="K480" s="132" t="s">
        <v>2066</v>
      </c>
      <c r="L480" s="132" t="s">
        <v>2067</v>
      </c>
      <c r="M480" s="132" t="s">
        <v>2272</v>
      </c>
      <c r="N480" s="132" t="s">
        <v>1112</v>
      </c>
      <c r="O480" s="132" t="s">
        <v>2273</v>
      </c>
      <c r="P480" s="132" t="s">
        <v>2247</v>
      </c>
      <c r="Q480" s="132" t="s">
        <v>1108</v>
      </c>
    </row>
    <row r="481" spans="1:17" x14ac:dyDescent="0.2">
      <c r="A481" t="s">
        <v>218</v>
      </c>
      <c r="B481" s="141">
        <f t="shared" si="7"/>
        <v>6.5600000000000005</v>
      </c>
      <c r="C481" s="280">
        <v>45627</v>
      </c>
      <c r="D481" s="279">
        <v>45628</v>
      </c>
      <c r="E481" s="279">
        <v>45629</v>
      </c>
      <c r="F481" s="132"/>
      <c r="G481" s="132" t="s">
        <v>1108</v>
      </c>
      <c r="H481" s="132" t="s">
        <v>373</v>
      </c>
      <c r="I481" s="132" t="s">
        <v>1100</v>
      </c>
      <c r="J481" s="132" t="s">
        <v>2041</v>
      </c>
      <c r="K481" s="132" t="s">
        <v>2042</v>
      </c>
      <c r="L481" s="132" t="s">
        <v>2043</v>
      </c>
      <c r="M481" s="132" t="s">
        <v>2274</v>
      </c>
      <c r="N481" s="132" t="s">
        <v>1117</v>
      </c>
      <c r="O481" s="132" t="s">
        <v>2275</v>
      </c>
      <c r="P481" s="132" t="s">
        <v>2247</v>
      </c>
      <c r="Q481" s="132" t="s">
        <v>1108</v>
      </c>
    </row>
    <row r="482" spans="1:17" x14ac:dyDescent="0.2">
      <c r="A482" t="s">
        <v>193</v>
      </c>
      <c r="B482" s="141">
        <f t="shared" si="7"/>
        <v>2.15</v>
      </c>
      <c r="C482" s="280">
        <v>45628</v>
      </c>
      <c r="D482" s="279">
        <v>45629</v>
      </c>
      <c r="E482" s="279">
        <v>45629</v>
      </c>
      <c r="F482" s="132"/>
      <c r="G482" s="132" t="s">
        <v>1229</v>
      </c>
      <c r="H482" s="132" t="s">
        <v>373</v>
      </c>
      <c r="I482" s="132" t="s">
        <v>1100</v>
      </c>
      <c r="J482" s="132" t="s">
        <v>2225</v>
      </c>
      <c r="K482" s="132" t="s">
        <v>2226</v>
      </c>
      <c r="L482" s="132" t="s">
        <v>2227</v>
      </c>
      <c r="M482" s="132" t="s">
        <v>2276</v>
      </c>
      <c r="N482" s="132" t="s">
        <v>1105</v>
      </c>
      <c r="O482" s="132" t="s">
        <v>2277</v>
      </c>
      <c r="P482" s="132" t="s">
        <v>2247</v>
      </c>
      <c r="Q482" s="132" t="s">
        <v>1108</v>
      </c>
    </row>
    <row r="483" spans="1:17" x14ac:dyDescent="0.2">
      <c r="A483" t="s">
        <v>258</v>
      </c>
      <c r="B483" s="141">
        <f t="shared" si="7"/>
        <v>2.14</v>
      </c>
      <c r="C483" s="280">
        <v>45628</v>
      </c>
      <c r="D483" s="279">
        <v>45628</v>
      </c>
      <c r="E483" s="279">
        <v>45629</v>
      </c>
      <c r="F483" s="132"/>
      <c r="G483" s="132" t="s">
        <v>1108</v>
      </c>
      <c r="H483" s="132" t="s">
        <v>373</v>
      </c>
      <c r="I483" s="132" t="s">
        <v>1100</v>
      </c>
      <c r="J483" s="132" t="s">
        <v>2225</v>
      </c>
      <c r="K483" s="132" t="s">
        <v>2256</v>
      </c>
      <c r="L483" s="132" t="s">
        <v>2257</v>
      </c>
      <c r="M483" s="132" t="s">
        <v>2278</v>
      </c>
      <c r="N483" s="132" t="s">
        <v>1112</v>
      </c>
      <c r="O483" s="132" t="s">
        <v>2279</v>
      </c>
      <c r="P483" s="132" t="s">
        <v>2247</v>
      </c>
      <c r="Q483" s="132" t="s">
        <v>1108</v>
      </c>
    </row>
    <row r="484" spans="1:17" x14ac:dyDescent="0.2">
      <c r="A484" t="s">
        <v>218</v>
      </c>
      <c r="B484" s="141">
        <f t="shared" si="7"/>
        <v>6.5600000000000005</v>
      </c>
      <c r="C484" s="280">
        <v>45628</v>
      </c>
      <c r="D484" s="279">
        <v>45629</v>
      </c>
      <c r="E484" s="279">
        <v>45629</v>
      </c>
      <c r="F484" s="132"/>
      <c r="G484" s="132" t="s">
        <v>1602</v>
      </c>
      <c r="H484" s="132" t="s">
        <v>373</v>
      </c>
      <c r="I484" s="132" t="s">
        <v>1100</v>
      </c>
      <c r="J484" s="132" t="s">
        <v>2041</v>
      </c>
      <c r="K484" s="132" t="s">
        <v>2042</v>
      </c>
      <c r="L484" s="132" t="s">
        <v>2043</v>
      </c>
      <c r="M484" s="132" t="s">
        <v>2280</v>
      </c>
      <c r="N484" s="132" t="s">
        <v>1105</v>
      </c>
      <c r="O484" s="132" t="s">
        <v>2281</v>
      </c>
      <c r="P484" s="132" t="s">
        <v>2247</v>
      </c>
      <c r="Q484" s="132" t="s">
        <v>1108</v>
      </c>
    </row>
    <row r="485" spans="1:17" x14ac:dyDescent="0.2">
      <c r="A485" t="s">
        <v>219</v>
      </c>
      <c r="B485" s="141">
        <f t="shared" si="7"/>
        <v>8.4700000000000006</v>
      </c>
      <c r="C485" s="280">
        <v>45628</v>
      </c>
      <c r="D485" s="279">
        <v>45628</v>
      </c>
      <c r="E485" s="279">
        <v>45629</v>
      </c>
      <c r="F485" s="132"/>
      <c r="G485" s="132" t="s">
        <v>1108</v>
      </c>
      <c r="H485" s="132" t="s">
        <v>373</v>
      </c>
      <c r="I485" s="132" t="s">
        <v>1100</v>
      </c>
      <c r="J485" s="132" t="s">
        <v>2052</v>
      </c>
      <c r="K485" s="132" t="s">
        <v>2053</v>
      </c>
      <c r="L485" s="132" t="s">
        <v>2054</v>
      </c>
      <c r="M485" s="132" t="s">
        <v>2282</v>
      </c>
      <c r="N485" s="132" t="s">
        <v>1112</v>
      </c>
      <c r="O485" s="132" t="s">
        <v>2283</v>
      </c>
      <c r="P485" s="132" t="s">
        <v>2247</v>
      </c>
      <c r="Q485" s="132" t="s">
        <v>1108</v>
      </c>
    </row>
    <row r="486" spans="1:17" x14ac:dyDescent="0.2">
      <c r="A486" t="s">
        <v>193</v>
      </c>
      <c r="B486" s="141">
        <f t="shared" si="7"/>
        <v>2.15</v>
      </c>
      <c r="C486" s="280">
        <v>45628</v>
      </c>
      <c r="D486" s="279">
        <v>45629</v>
      </c>
      <c r="E486" s="279">
        <v>45630</v>
      </c>
      <c r="F486" s="132"/>
      <c r="G486" s="132" t="s">
        <v>2284</v>
      </c>
      <c r="H486" s="132" t="s">
        <v>373</v>
      </c>
      <c r="I486" s="132" t="s">
        <v>1100</v>
      </c>
      <c r="J486" s="132" t="s">
        <v>2225</v>
      </c>
      <c r="K486" s="132" t="s">
        <v>2226</v>
      </c>
      <c r="L486" s="132" t="s">
        <v>2227</v>
      </c>
      <c r="M486" s="132" t="s">
        <v>2285</v>
      </c>
      <c r="N486" s="132" t="s">
        <v>1105</v>
      </c>
      <c r="O486" s="132" t="s">
        <v>2286</v>
      </c>
      <c r="P486" s="132" t="s">
        <v>2287</v>
      </c>
      <c r="Q486" s="132" t="s">
        <v>1108</v>
      </c>
    </row>
    <row r="487" spans="1:17" x14ac:dyDescent="0.2">
      <c r="A487" t="s">
        <v>218</v>
      </c>
      <c r="B487" s="141">
        <f t="shared" si="7"/>
        <v>6.5200000000000005</v>
      </c>
      <c r="C487" s="280">
        <v>45628</v>
      </c>
      <c r="D487" s="279">
        <v>45629</v>
      </c>
      <c r="E487" s="279">
        <v>45630</v>
      </c>
      <c r="F487" s="132"/>
      <c r="G487" s="132" t="s">
        <v>1108</v>
      </c>
      <c r="H487" s="132" t="s">
        <v>373</v>
      </c>
      <c r="I487" s="132" t="s">
        <v>1100</v>
      </c>
      <c r="J487" s="132" t="s">
        <v>2041</v>
      </c>
      <c r="K487" s="132" t="s">
        <v>2066</v>
      </c>
      <c r="L487" s="132" t="s">
        <v>2067</v>
      </c>
      <c r="M487" s="132" t="s">
        <v>2288</v>
      </c>
      <c r="N487" s="132" t="s">
        <v>1112</v>
      </c>
      <c r="O487" s="132" t="s">
        <v>2289</v>
      </c>
      <c r="P487" s="132" t="s">
        <v>2287</v>
      </c>
      <c r="Q487" s="132" t="s">
        <v>1108</v>
      </c>
    </row>
    <row r="488" spans="1:17" x14ac:dyDescent="0.2">
      <c r="A488" t="s">
        <v>218</v>
      </c>
      <c r="B488" s="141">
        <f t="shared" si="7"/>
        <v>6.5200000000000005</v>
      </c>
      <c r="C488" s="280">
        <v>45628</v>
      </c>
      <c r="D488" s="279">
        <v>45629</v>
      </c>
      <c r="E488" s="279">
        <v>45630</v>
      </c>
      <c r="F488" s="132"/>
      <c r="G488" s="132" t="s">
        <v>1108</v>
      </c>
      <c r="H488" s="132" t="s">
        <v>373</v>
      </c>
      <c r="I488" s="132" t="s">
        <v>1100</v>
      </c>
      <c r="J488" s="132" t="s">
        <v>2041</v>
      </c>
      <c r="K488" s="132" t="s">
        <v>2066</v>
      </c>
      <c r="L488" s="132" t="s">
        <v>2067</v>
      </c>
      <c r="M488" s="132" t="s">
        <v>2290</v>
      </c>
      <c r="N488" s="132" t="s">
        <v>1112</v>
      </c>
      <c r="O488" s="132" t="s">
        <v>2291</v>
      </c>
      <c r="P488" s="132" t="s">
        <v>2287</v>
      </c>
      <c r="Q488" s="132" t="s">
        <v>1108</v>
      </c>
    </row>
    <row r="489" spans="1:17" x14ac:dyDescent="0.2">
      <c r="A489" t="s">
        <v>259</v>
      </c>
      <c r="B489" s="141">
        <f t="shared" si="7"/>
        <v>4.09</v>
      </c>
      <c r="C489" s="280">
        <v>45628</v>
      </c>
      <c r="D489" s="279">
        <v>45629</v>
      </c>
      <c r="E489" s="279">
        <v>45630</v>
      </c>
      <c r="F489" s="132"/>
      <c r="G489" s="132" t="s">
        <v>1108</v>
      </c>
      <c r="H489" s="132" t="s">
        <v>373</v>
      </c>
      <c r="I489" s="132" t="s">
        <v>1100</v>
      </c>
      <c r="J489" s="132" t="s">
        <v>1754</v>
      </c>
      <c r="K489" s="132" t="s">
        <v>1792</v>
      </c>
      <c r="L489" s="132" t="s">
        <v>1793</v>
      </c>
      <c r="M489" s="132" t="s">
        <v>2292</v>
      </c>
      <c r="N489" s="132" t="s">
        <v>1112</v>
      </c>
      <c r="O489" s="132" t="s">
        <v>2293</v>
      </c>
      <c r="P489" s="132" t="s">
        <v>2287</v>
      </c>
      <c r="Q489" s="132" t="s">
        <v>1108</v>
      </c>
    </row>
    <row r="490" spans="1:17" x14ac:dyDescent="0.2">
      <c r="A490" t="s">
        <v>219</v>
      </c>
      <c r="B490" s="141">
        <f t="shared" si="7"/>
        <v>8.5299999999999994</v>
      </c>
      <c r="C490" s="280">
        <v>45628</v>
      </c>
      <c r="D490" s="279">
        <v>45629</v>
      </c>
      <c r="E490" s="279">
        <v>45630</v>
      </c>
      <c r="F490" s="132"/>
      <c r="G490" s="132" t="s">
        <v>2294</v>
      </c>
      <c r="H490" s="132" t="s">
        <v>373</v>
      </c>
      <c r="I490" s="132" t="s">
        <v>1100</v>
      </c>
      <c r="J490" s="132" t="s">
        <v>2052</v>
      </c>
      <c r="K490" s="132" t="s">
        <v>2170</v>
      </c>
      <c r="L490" s="132" t="s">
        <v>2171</v>
      </c>
      <c r="M490" s="132" t="s">
        <v>2295</v>
      </c>
      <c r="N490" s="132" t="s">
        <v>1105</v>
      </c>
      <c r="O490" s="132" t="s">
        <v>2296</v>
      </c>
      <c r="P490" s="132" t="s">
        <v>2287</v>
      </c>
      <c r="Q490" s="132" t="s">
        <v>1108</v>
      </c>
    </row>
    <row r="491" spans="1:17" x14ac:dyDescent="0.2">
      <c r="A491" t="s">
        <v>258</v>
      </c>
      <c r="B491" s="141">
        <f t="shared" si="7"/>
        <v>2.14</v>
      </c>
      <c r="C491" s="280">
        <v>45628</v>
      </c>
      <c r="D491" s="279">
        <v>45629</v>
      </c>
      <c r="E491" s="279">
        <v>45630</v>
      </c>
      <c r="F491" s="132"/>
      <c r="G491" s="132" t="s">
        <v>1108</v>
      </c>
      <c r="H491" s="132" t="s">
        <v>373</v>
      </c>
      <c r="I491" s="132" t="s">
        <v>1100</v>
      </c>
      <c r="J491" s="132" t="s">
        <v>2225</v>
      </c>
      <c r="K491" s="132" t="s">
        <v>2256</v>
      </c>
      <c r="L491" s="132" t="s">
        <v>2257</v>
      </c>
      <c r="M491" s="132" t="s">
        <v>2297</v>
      </c>
      <c r="N491" s="132" t="s">
        <v>1112</v>
      </c>
      <c r="O491" s="132" t="s">
        <v>2298</v>
      </c>
      <c r="P491" s="132" t="s">
        <v>2287</v>
      </c>
      <c r="Q491" s="132" t="s">
        <v>1108</v>
      </c>
    </row>
    <row r="492" spans="1:17" x14ac:dyDescent="0.2">
      <c r="A492" t="s">
        <v>219</v>
      </c>
      <c r="B492" s="141">
        <f t="shared" si="7"/>
        <v>8.5299999999999994</v>
      </c>
      <c r="C492" s="280">
        <v>45628</v>
      </c>
      <c r="D492" s="279">
        <v>45629</v>
      </c>
      <c r="E492" s="279">
        <v>45630</v>
      </c>
      <c r="F492" s="132"/>
      <c r="G492" s="132" t="s">
        <v>2299</v>
      </c>
      <c r="H492" s="132" t="s">
        <v>373</v>
      </c>
      <c r="I492" s="132" t="s">
        <v>1100</v>
      </c>
      <c r="J492" s="132" t="s">
        <v>2052</v>
      </c>
      <c r="K492" s="132" t="s">
        <v>2170</v>
      </c>
      <c r="L492" s="132" t="s">
        <v>2171</v>
      </c>
      <c r="M492" s="132" t="s">
        <v>2300</v>
      </c>
      <c r="N492" s="132" t="s">
        <v>1105</v>
      </c>
      <c r="O492" s="132" t="s">
        <v>2301</v>
      </c>
      <c r="P492" s="132" t="s">
        <v>2287</v>
      </c>
      <c r="Q492" s="132" t="s">
        <v>1108</v>
      </c>
    </row>
    <row r="493" spans="1:17" x14ac:dyDescent="0.2">
      <c r="A493" t="s">
        <v>218</v>
      </c>
      <c r="B493" s="141">
        <f t="shared" si="7"/>
        <v>6.5600000000000005</v>
      </c>
      <c r="C493" s="280">
        <v>45628</v>
      </c>
      <c r="D493" s="279">
        <v>45629</v>
      </c>
      <c r="E493" s="279">
        <v>45630</v>
      </c>
      <c r="F493" s="132"/>
      <c r="G493" s="132" t="s">
        <v>1108</v>
      </c>
      <c r="H493" s="132" t="s">
        <v>373</v>
      </c>
      <c r="I493" s="132" t="s">
        <v>1100</v>
      </c>
      <c r="J493" s="132" t="s">
        <v>2041</v>
      </c>
      <c r="K493" s="132" t="s">
        <v>2042</v>
      </c>
      <c r="L493" s="132" t="s">
        <v>2043</v>
      </c>
      <c r="M493" s="132" t="s">
        <v>2302</v>
      </c>
      <c r="N493" s="132" t="s">
        <v>1117</v>
      </c>
      <c r="O493" s="132" t="s">
        <v>2303</v>
      </c>
      <c r="P493" s="132" t="s">
        <v>2287</v>
      </c>
      <c r="Q493" s="132" t="s">
        <v>1108</v>
      </c>
    </row>
    <row r="494" spans="1:17" x14ac:dyDescent="0.2">
      <c r="A494" t="s">
        <v>258</v>
      </c>
      <c r="B494" s="141">
        <f t="shared" si="7"/>
        <v>2.15</v>
      </c>
      <c r="C494" s="280">
        <v>45628</v>
      </c>
      <c r="D494" s="279">
        <v>45629</v>
      </c>
      <c r="E494" s="279">
        <v>45630</v>
      </c>
      <c r="F494" s="132"/>
      <c r="G494" s="132" t="s">
        <v>1108</v>
      </c>
      <c r="H494" s="132" t="s">
        <v>373</v>
      </c>
      <c r="I494" s="132" t="s">
        <v>1100</v>
      </c>
      <c r="J494" s="132" t="s">
        <v>2225</v>
      </c>
      <c r="K494" s="132" t="s">
        <v>2226</v>
      </c>
      <c r="L494" s="132" t="s">
        <v>2227</v>
      </c>
      <c r="M494" s="132" t="s">
        <v>2304</v>
      </c>
      <c r="N494" s="132" t="s">
        <v>1117</v>
      </c>
      <c r="O494" s="132" t="s">
        <v>2305</v>
      </c>
      <c r="P494" s="132" t="s">
        <v>2287</v>
      </c>
      <c r="Q494" s="132" t="s">
        <v>1108</v>
      </c>
    </row>
    <row r="495" spans="1:17" x14ac:dyDescent="0.2">
      <c r="A495" t="s">
        <v>218</v>
      </c>
      <c r="B495" s="141">
        <f t="shared" si="7"/>
        <v>6.5600000000000005</v>
      </c>
      <c r="C495" s="280">
        <v>45628</v>
      </c>
      <c r="D495" s="279">
        <v>45629</v>
      </c>
      <c r="E495" s="279">
        <v>45630</v>
      </c>
      <c r="F495" s="132"/>
      <c r="G495" s="132" t="s">
        <v>2018</v>
      </c>
      <c r="H495" s="132" t="s">
        <v>373</v>
      </c>
      <c r="I495" s="132" t="s">
        <v>1100</v>
      </c>
      <c r="J495" s="132" t="s">
        <v>2041</v>
      </c>
      <c r="K495" s="132" t="s">
        <v>2042</v>
      </c>
      <c r="L495" s="132" t="s">
        <v>2043</v>
      </c>
      <c r="M495" s="132" t="s">
        <v>2306</v>
      </c>
      <c r="N495" s="132" t="s">
        <v>1105</v>
      </c>
      <c r="O495" s="132" t="s">
        <v>2307</v>
      </c>
      <c r="P495" s="132" t="s">
        <v>2287</v>
      </c>
      <c r="Q495" s="132" t="s">
        <v>1108</v>
      </c>
    </row>
    <row r="496" spans="1:17" x14ac:dyDescent="0.2">
      <c r="A496" t="s">
        <v>218</v>
      </c>
      <c r="B496" s="141">
        <f t="shared" si="7"/>
        <v>6.5600000000000005</v>
      </c>
      <c r="C496" s="280">
        <v>45628</v>
      </c>
      <c r="D496" s="279">
        <v>45630</v>
      </c>
      <c r="E496" s="279">
        <v>45630</v>
      </c>
      <c r="F496" s="132"/>
      <c r="G496" s="132" t="s">
        <v>1320</v>
      </c>
      <c r="H496" s="132" t="s">
        <v>373</v>
      </c>
      <c r="I496" s="132" t="s">
        <v>1100</v>
      </c>
      <c r="J496" s="132" t="s">
        <v>2041</v>
      </c>
      <c r="K496" s="132" t="s">
        <v>2042</v>
      </c>
      <c r="L496" s="132" t="s">
        <v>2043</v>
      </c>
      <c r="M496" s="132" t="s">
        <v>2308</v>
      </c>
      <c r="N496" s="132" t="s">
        <v>1105</v>
      </c>
      <c r="O496" s="132" t="s">
        <v>2309</v>
      </c>
      <c r="P496" s="132" t="s">
        <v>2287</v>
      </c>
      <c r="Q496" s="132" t="s">
        <v>1108</v>
      </c>
    </row>
    <row r="497" spans="1:17" x14ac:dyDescent="0.2">
      <c r="A497" t="s">
        <v>218</v>
      </c>
      <c r="B497" s="141">
        <f t="shared" si="7"/>
        <v>6.5200000000000005</v>
      </c>
      <c r="C497" s="280">
        <v>45629</v>
      </c>
      <c r="D497" s="279">
        <v>45629</v>
      </c>
      <c r="E497" s="279">
        <v>45630</v>
      </c>
      <c r="F497" s="132"/>
      <c r="G497" s="132" t="s">
        <v>1108</v>
      </c>
      <c r="H497" s="132" t="s">
        <v>373</v>
      </c>
      <c r="I497" s="132" t="s">
        <v>1100</v>
      </c>
      <c r="J497" s="132" t="s">
        <v>2041</v>
      </c>
      <c r="K497" s="132" t="s">
        <v>2066</v>
      </c>
      <c r="L497" s="132" t="s">
        <v>2067</v>
      </c>
      <c r="M497" s="132" t="s">
        <v>2310</v>
      </c>
      <c r="N497" s="132" t="s">
        <v>1112</v>
      </c>
      <c r="O497" s="132" t="s">
        <v>2311</v>
      </c>
      <c r="P497" s="132" t="s">
        <v>2287</v>
      </c>
      <c r="Q497" s="132" t="s">
        <v>1108</v>
      </c>
    </row>
    <row r="498" spans="1:17" x14ac:dyDescent="0.2">
      <c r="A498" t="s">
        <v>218</v>
      </c>
      <c r="B498" s="141">
        <f t="shared" si="7"/>
        <v>6.5200000000000005</v>
      </c>
      <c r="C498" s="280">
        <v>45629</v>
      </c>
      <c r="D498" s="279">
        <v>45629</v>
      </c>
      <c r="E498" s="279">
        <v>45630</v>
      </c>
      <c r="F498" s="132"/>
      <c r="G498" s="132" t="s">
        <v>1108</v>
      </c>
      <c r="H498" s="132" t="s">
        <v>373</v>
      </c>
      <c r="I498" s="132" t="s">
        <v>1100</v>
      </c>
      <c r="J498" s="132" t="s">
        <v>2041</v>
      </c>
      <c r="K498" s="132" t="s">
        <v>2066</v>
      </c>
      <c r="L498" s="132" t="s">
        <v>2067</v>
      </c>
      <c r="M498" s="132" t="s">
        <v>2312</v>
      </c>
      <c r="N498" s="132" t="s">
        <v>1112</v>
      </c>
      <c r="O498" s="132" t="s">
        <v>2313</v>
      </c>
      <c r="P498" s="132" t="s">
        <v>2287</v>
      </c>
      <c r="Q498" s="132" t="s">
        <v>1108</v>
      </c>
    </row>
    <row r="499" spans="1:17" x14ac:dyDescent="0.2">
      <c r="A499" t="s">
        <v>218</v>
      </c>
      <c r="B499" s="141">
        <f t="shared" si="7"/>
        <v>6.5200000000000005</v>
      </c>
      <c r="C499" s="280">
        <v>45629</v>
      </c>
      <c r="D499" s="279">
        <v>45629</v>
      </c>
      <c r="E499" s="279">
        <v>45630</v>
      </c>
      <c r="F499" s="132"/>
      <c r="G499" s="132" t="s">
        <v>1108</v>
      </c>
      <c r="H499" s="132" t="s">
        <v>373</v>
      </c>
      <c r="I499" s="132" t="s">
        <v>1100</v>
      </c>
      <c r="J499" s="132" t="s">
        <v>2041</v>
      </c>
      <c r="K499" s="132" t="s">
        <v>2066</v>
      </c>
      <c r="L499" s="132" t="s">
        <v>2067</v>
      </c>
      <c r="M499" s="132" t="s">
        <v>2314</v>
      </c>
      <c r="N499" s="132" t="s">
        <v>1112</v>
      </c>
      <c r="O499" s="132" t="s">
        <v>2315</v>
      </c>
      <c r="P499" s="132" t="s">
        <v>2287</v>
      </c>
      <c r="Q499" s="132" t="s">
        <v>1108</v>
      </c>
    </row>
    <row r="500" spans="1:17" x14ac:dyDescent="0.2">
      <c r="A500" t="s">
        <v>219</v>
      </c>
      <c r="B500" s="141">
        <f t="shared" si="7"/>
        <v>17.25</v>
      </c>
      <c r="C500" s="280">
        <v>45629</v>
      </c>
      <c r="D500" s="279">
        <v>45629</v>
      </c>
      <c r="E500" s="279">
        <v>45630</v>
      </c>
      <c r="F500" s="132"/>
      <c r="G500" s="132" t="s">
        <v>1108</v>
      </c>
      <c r="H500" s="132" t="s">
        <v>373</v>
      </c>
      <c r="I500" s="132" t="s">
        <v>1100</v>
      </c>
      <c r="J500" s="132" t="s">
        <v>2092</v>
      </c>
      <c r="K500" s="132" t="s">
        <v>2093</v>
      </c>
      <c r="L500" s="132" t="s">
        <v>2094</v>
      </c>
      <c r="M500" s="132" t="s">
        <v>2316</v>
      </c>
      <c r="N500" s="132" t="s">
        <v>1112</v>
      </c>
      <c r="O500" s="132" t="s">
        <v>2317</v>
      </c>
      <c r="P500" s="132" t="s">
        <v>2287</v>
      </c>
      <c r="Q500" s="132" t="s">
        <v>1108</v>
      </c>
    </row>
    <row r="501" spans="1:17" x14ac:dyDescent="0.2">
      <c r="A501" t="s">
        <v>218</v>
      </c>
      <c r="B501" s="141">
        <f t="shared" si="7"/>
        <v>6.5200000000000005</v>
      </c>
      <c r="C501" s="280">
        <v>45629</v>
      </c>
      <c r="D501" s="279">
        <v>45629</v>
      </c>
      <c r="E501" s="279">
        <v>45630</v>
      </c>
      <c r="F501" s="132"/>
      <c r="G501" s="132" t="s">
        <v>1108</v>
      </c>
      <c r="H501" s="132" t="s">
        <v>373</v>
      </c>
      <c r="I501" s="132" t="s">
        <v>1100</v>
      </c>
      <c r="J501" s="132" t="s">
        <v>2041</v>
      </c>
      <c r="K501" s="132" t="s">
        <v>2066</v>
      </c>
      <c r="L501" s="132" t="s">
        <v>2067</v>
      </c>
      <c r="M501" s="132" t="s">
        <v>2318</v>
      </c>
      <c r="N501" s="132" t="s">
        <v>1112</v>
      </c>
      <c r="O501" s="132" t="s">
        <v>2319</v>
      </c>
      <c r="P501" s="132" t="s">
        <v>2287</v>
      </c>
      <c r="Q501" s="132" t="s">
        <v>1108</v>
      </c>
    </row>
    <row r="502" spans="1:17" x14ac:dyDescent="0.2">
      <c r="A502" t="s">
        <v>194</v>
      </c>
      <c r="B502" s="141">
        <f t="shared" si="7"/>
        <v>4.09</v>
      </c>
      <c r="C502" s="280">
        <v>45629</v>
      </c>
      <c r="D502" s="279">
        <v>45629</v>
      </c>
      <c r="E502" s="279">
        <v>45630</v>
      </c>
      <c r="F502" s="132"/>
      <c r="G502" s="132" t="s">
        <v>1108</v>
      </c>
      <c r="H502" s="132" t="s">
        <v>373</v>
      </c>
      <c r="I502" s="132" t="s">
        <v>1100</v>
      </c>
      <c r="J502" s="132" t="s">
        <v>1754</v>
      </c>
      <c r="K502" s="132" t="s">
        <v>1792</v>
      </c>
      <c r="L502" s="132" t="s">
        <v>1793</v>
      </c>
      <c r="M502" s="132" t="s">
        <v>2320</v>
      </c>
      <c r="N502" s="132" t="s">
        <v>1112</v>
      </c>
      <c r="O502" s="132" t="s">
        <v>2321</v>
      </c>
      <c r="P502" s="132" t="s">
        <v>2287</v>
      </c>
      <c r="Q502" s="132" t="s">
        <v>1108</v>
      </c>
    </row>
    <row r="503" spans="1:17" x14ac:dyDescent="0.2">
      <c r="A503" t="s">
        <v>194</v>
      </c>
      <c r="B503" s="141">
        <f t="shared" ref="B503:B566" si="8">_xlfn.NUMBERVALUE(L503)*0.01</f>
        <v>4.09</v>
      </c>
      <c r="C503" s="280">
        <v>45629</v>
      </c>
      <c r="D503" s="279">
        <v>45629</v>
      </c>
      <c r="E503" s="279">
        <v>45630</v>
      </c>
      <c r="F503" s="132"/>
      <c r="G503" s="132" t="s">
        <v>1108</v>
      </c>
      <c r="H503" s="132" t="s">
        <v>373</v>
      </c>
      <c r="I503" s="132" t="s">
        <v>1100</v>
      </c>
      <c r="J503" s="132" t="s">
        <v>1754</v>
      </c>
      <c r="K503" s="132" t="s">
        <v>1792</v>
      </c>
      <c r="L503" s="132" t="s">
        <v>1793</v>
      </c>
      <c r="M503" s="132" t="s">
        <v>2322</v>
      </c>
      <c r="N503" s="132" t="s">
        <v>1112</v>
      </c>
      <c r="O503" s="132" t="s">
        <v>2323</v>
      </c>
      <c r="P503" s="132" t="s">
        <v>2287</v>
      </c>
      <c r="Q503" s="132" t="s">
        <v>1108</v>
      </c>
    </row>
    <row r="504" spans="1:17" x14ac:dyDescent="0.2">
      <c r="A504" t="s">
        <v>218</v>
      </c>
      <c r="B504" s="141">
        <f t="shared" si="8"/>
        <v>6.5200000000000005</v>
      </c>
      <c r="C504" s="280">
        <v>45629</v>
      </c>
      <c r="D504" s="279">
        <v>45629</v>
      </c>
      <c r="E504" s="279">
        <v>45630</v>
      </c>
      <c r="F504" s="132"/>
      <c r="G504" s="132" t="s">
        <v>1108</v>
      </c>
      <c r="H504" s="132" t="s">
        <v>373</v>
      </c>
      <c r="I504" s="132" t="s">
        <v>1100</v>
      </c>
      <c r="J504" s="132" t="s">
        <v>2041</v>
      </c>
      <c r="K504" s="132" t="s">
        <v>2066</v>
      </c>
      <c r="L504" s="132" t="s">
        <v>2067</v>
      </c>
      <c r="M504" s="132" t="s">
        <v>2324</v>
      </c>
      <c r="N504" s="132" t="s">
        <v>1112</v>
      </c>
      <c r="O504" s="132" t="s">
        <v>2325</v>
      </c>
      <c r="P504" s="132" t="s">
        <v>2287</v>
      </c>
      <c r="Q504" s="132" t="s">
        <v>1108</v>
      </c>
    </row>
    <row r="505" spans="1:17" x14ac:dyDescent="0.2">
      <c r="A505" t="s">
        <v>218</v>
      </c>
      <c r="B505" s="141">
        <f t="shared" si="8"/>
        <v>6.5200000000000005</v>
      </c>
      <c r="C505" s="280">
        <v>45629</v>
      </c>
      <c r="D505" s="279">
        <v>45629</v>
      </c>
      <c r="E505" s="279">
        <v>45630</v>
      </c>
      <c r="F505" s="132"/>
      <c r="G505" s="132" t="s">
        <v>1108</v>
      </c>
      <c r="H505" s="132" t="s">
        <v>373</v>
      </c>
      <c r="I505" s="132" t="s">
        <v>1100</v>
      </c>
      <c r="J505" s="132" t="s">
        <v>2041</v>
      </c>
      <c r="K505" s="132" t="s">
        <v>2066</v>
      </c>
      <c r="L505" s="132" t="s">
        <v>2067</v>
      </c>
      <c r="M505" s="132" t="s">
        <v>2326</v>
      </c>
      <c r="N505" s="132" t="s">
        <v>1112</v>
      </c>
      <c r="O505" s="132" t="s">
        <v>2327</v>
      </c>
      <c r="P505" s="132" t="s">
        <v>2287</v>
      </c>
      <c r="Q505" s="132" t="s">
        <v>1108</v>
      </c>
    </row>
    <row r="506" spans="1:17" x14ac:dyDescent="0.2">
      <c r="A506" t="s">
        <v>219</v>
      </c>
      <c r="B506" s="141">
        <f t="shared" si="8"/>
        <v>8.4700000000000006</v>
      </c>
      <c r="C506" s="280">
        <v>45629</v>
      </c>
      <c r="D506" s="279">
        <v>45629</v>
      </c>
      <c r="E506" s="279">
        <v>45630</v>
      </c>
      <c r="F506" s="132"/>
      <c r="G506" s="132" t="s">
        <v>1108</v>
      </c>
      <c r="H506" s="132" t="s">
        <v>373</v>
      </c>
      <c r="I506" s="132" t="s">
        <v>1100</v>
      </c>
      <c r="J506" s="132" t="s">
        <v>2052</v>
      </c>
      <c r="K506" s="132" t="s">
        <v>2053</v>
      </c>
      <c r="L506" s="132" t="s">
        <v>2054</v>
      </c>
      <c r="M506" s="132" t="s">
        <v>2328</v>
      </c>
      <c r="N506" s="132" t="s">
        <v>1112</v>
      </c>
      <c r="O506" s="132" t="s">
        <v>2329</v>
      </c>
      <c r="P506" s="132" t="s">
        <v>2287</v>
      </c>
      <c r="Q506" s="132" t="s">
        <v>1108</v>
      </c>
    </row>
    <row r="507" spans="1:17" x14ac:dyDescent="0.2">
      <c r="A507" t="s">
        <v>218</v>
      </c>
      <c r="B507" s="141">
        <f t="shared" si="8"/>
        <v>6.5600000000000005</v>
      </c>
      <c r="C507" s="280">
        <v>45629</v>
      </c>
      <c r="D507" s="279">
        <v>45629</v>
      </c>
      <c r="E507" s="279">
        <v>45630</v>
      </c>
      <c r="F507" s="132"/>
      <c r="G507" s="132" t="s">
        <v>1108</v>
      </c>
      <c r="H507" s="132" t="s">
        <v>373</v>
      </c>
      <c r="I507" s="132" t="s">
        <v>1100</v>
      </c>
      <c r="J507" s="132" t="s">
        <v>2041</v>
      </c>
      <c r="K507" s="132" t="s">
        <v>2042</v>
      </c>
      <c r="L507" s="132" t="s">
        <v>2043</v>
      </c>
      <c r="M507" s="132" t="s">
        <v>2330</v>
      </c>
      <c r="N507" s="132" t="s">
        <v>1117</v>
      </c>
      <c r="O507" s="132" t="s">
        <v>2331</v>
      </c>
      <c r="P507" s="132" t="s">
        <v>2287</v>
      </c>
      <c r="Q507" s="132" t="s">
        <v>1108</v>
      </c>
    </row>
    <row r="508" spans="1:17" x14ac:dyDescent="0.2">
      <c r="A508" t="s">
        <v>193</v>
      </c>
      <c r="B508" s="141">
        <f t="shared" si="8"/>
        <v>2.15</v>
      </c>
      <c r="C508" s="280">
        <v>45629</v>
      </c>
      <c r="D508" s="279">
        <v>45630</v>
      </c>
      <c r="E508" s="279">
        <v>45630</v>
      </c>
      <c r="F508" s="132"/>
      <c r="G508" s="132" t="s">
        <v>1449</v>
      </c>
      <c r="H508" s="132" t="s">
        <v>373</v>
      </c>
      <c r="I508" s="132" t="s">
        <v>1100</v>
      </c>
      <c r="J508" s="132" t="s">
        <v>2225</v>
      </c>
      <c r="K508" s="132" t="s">
        <v>2226</v>
      </c>
      <c r="L508" s="132" t="s">
        <v>2227</v>
      </c>
      <c r="M508" s="132" t="s">
        <v>2332</v>
      </c>
      <c r="N508" s="132" t="s">
        <v>1105</v>
      </c>
      <c r="O508" s="132" t="s">
        <v>2333</v>
      </c>
      <c r="P508" s="132" t="s">
        <v>2287</v>
      </c>
      <c r="Q508" s="132" t="s">
        <v>1108</v>
      </c>
    </row>
    <row r="509" spans="1:17" x14ac:dyDescent="0.2">
      <c r="A509" t="s">
        <v>193</v>
      </c>
      <c r="B509" s="141">
        <f t="shared" si="8"/>
        <v>2.15</v>
      </c>
      <c r="C509" s="280">
        <v>45629</v>
      </c>
      <c r="D509" s="279">
        <v>45630</v>
      </c>
      <c r="E509" s="279">
        <v>45630</v>
      </c>
      <c r="F509" s="132"/>
      <c r="G509" s="132" t="s">
        <v>1343</v>
      </c>
      <c r="H509" s="132" t="s">
        <v>373</v>
      </c>
      <c r="I509" s="132" t="s">
        <v>1100</v>
      </c>
      <c r="J509" s="132" t="s">
        <v>2225</v>
      </c>
      <c r="K509" s="132" t="s">
        <v>2226</v>
      </c>
      <c r="L509" s="132" t="s">
        <v>2227</v>
      </c>
      <c r="M509" s="132" t="s">
        <v>2334</v>
      </c>
      <c r="N509" s="132" t="s">
        <v>1105</v>
      </c>
      <c r="O509" s="132" t="s">
        <v>2335</v>
      </c>
      <c r="P509" s="132" t="s">
        <v>2287</v>
      </c>
      <c r="Q509" s="132" t="s">
        <v>1108</v>
      </c>
    </row>
    <row r="510" spans="1:17" x14ac:dyDescent="0.2">
      <c r="A510" t="s">
        <v>218</v>
      </c>
      <c r="B510" s="141">
        <f t="shared" si="8"/>
        <v>6.5600000000000005</v>
      </c>
      <c r="C510" s="280">
        <v>45629</v>
      </c>
      <c r="D510" s="279">
        <v>45630</v>
      </c>
      <c r="E510" s="279">
        <v>45630</v>
      </c>
      <c r="F510" s="132"/>
      <c r="G510" s="132" t="s">
        <v>1108</v>
      </c>
      <c r="H510" s="132" t="s">
        <v>373</v>
      </c>
      <c r="I510" s="132" t="s">
        <v>1100</v>
      </c>
      <c r="J510" s="132" t="s">
        <v>2041</v>
      </c>
      <c r="K510" s="132" t="s">
        <v>2042</v>
      </c>
      <c r="L510" s="132" t="s">
        <v>2043</v>
      </c>
      <c r="M510" s="132" t="s">
        <v>2336</v>
      </c>
      <c r="N510" s="132" t="s">
        <v>1117</v>
      </c>
      <c r="O510" s="132" t="s">
        <v>2337</v>
      </c>
      <c r="P510" s="132" t="s">
        <v>2287</v>
      </c>
      <c r="Q510" s="132" t="s">
        <v>1108</v>
      </c>
    </row>
    <row r="511" spans="1:17" x14ac:dyDescent="0.2">
      <c r="A511" t="s">
        <v>218</v>
      </c>
      <c r="B511" s="141">
        <f t="shared" si="8"/>
        <v>6.5600000000000005</v>
      </c>
      <c r="C511" s="280">
        <v>45629</v>
      </c>
      <c r="D511" s="279">
        <v>45630</v>
      </c>
      <c r="E511" s="279">
        <v>45630</v>
      </c>
      <c r="F511" s="132"/>
      <c r="G511" s="132" t="s">
        <v>1108</v>
      </c>
      <c r="H511" s="132" t="s">
        <v>373</v>
      </c>
      <c r="I511" s="132" t="s">
        <v>1100</v>
      </c>
      <c r="J511" s="132" t="s">
        <v>2041</v>
      </c>
      <c r="K511" s="132" t="s">
        <v>2042</v>
      </c>
      <c r="L511" s="132" t="s">
        <v>2043</v>
      </c>
      <c r="M511" s="132" t="s">
        <v>2338</v>
      </c>
      <c r="N511" s="132" t="s">
        <v>1117</v>
      </c>
      <c r="O511" s="132" t="s">
        <v>2339</v>
      </c>
      <c r="P511" s="132" t="s">
        <v>2287</v>
      </c>
      <c r="Q511" s="132" t="s">
        <v>1108</v>
      </c>
    </row>
    <row r="512" spans="1:17" x14ac:dyDescent="0.2">
      <c r="A512" t="s">
        <v>193</v>
      </c>
      <c r="B512" s="141">
        <f t="shared" si="8"/>
        <v>2.15</v>
      </c>
      <c r="C512" s="280">
        <v>45629</v>
      </c>
      <c r="D512" s="279">
        <v>45630</v>
      </c>
      <c r="E512" s="279">
        <v>45630</v>
      </c>
      <c r="F512" s="132"/>
      <c r="G512" s="132" t="s">
        <v>1923</v>
      </c>
      <c r="H512" s="132" t="s">
        <v>373</v>
      </c>
      <c r="I512" s="132" t="s">
        <v>1100</v>
      </c>
      <c r="J512" s="132" t="s">
        <v>2225</v>
      </c>
      <c r="K512" s="132" t="s">
        <v>2226</v>
      </c>
      <c r="L512" s="132" t="s">
        <v>2227</v>
      </c>
      <c r="M512" s="132" t="s">
        <v>2340</v>
      </c>
      <c r="N512" s="132" t="s">
        <v>1105</v>
      </c>
      <c r="O512" s="132" t="s">
        <v>2341</v>
      </c>
      <c r="P512" s="132" t="s">
        <v>2287</v>
      </c>
      <c r="Q512" s="132" t="s">
        <v>1108</v>
      </c>
    </row>
    <row r="513" spans="1:17" x14ac:dyDescent="0.2">
      <c r="A513" t="s">
        <v>219</v>
      </c>
      <c r="B513" s="141">
        <f t="shared" si="8"/>
        <v>8.5299999999999994</v>
      </c>
      <c r="C513" s="280">
        <v>45629</v>
      </c>
      <c r="D513" s="279">
        <v>45630</v>
      </c>
      <c r="E513" s="279">
        <v>45630</v>
      </c>
      <c r="F513" s="132"/>
      <c r="G513" s="132" t="s">
        <v>1108</v>
      </c>
      <c r="H513" s="132" t="s">
        <v>373</v>
      </c>
      <c r="I513" s="132" t="s">
        <v>1100</v>
      </c>
      <c r="J513" s="132" t="s">
        <v>2052</v>
      </c>
      <c r="K513" s="132" t="s">
        <v>2170</v>
      </c>
      <c r="L513" s="132" t="s">
        <v>2171</v>
      </c>
      <c r="M513" s="132" t="s">
        <v>2342</v>
      </c>
      <c r="N513" s="132" t="s">
        <v>1117</v>
      </c>
      <c r="O513" s="132" t="s">
        <v>2343</v>
      </c>
      <c r="P513" s="132" t="s">
        <v>2287</v>
      </c>
      <c r="Q513" s="132" t="s">
        <v>1108</v>
      </c>
    </row>
    <row r="514" spans="1:17" x14ac:dyDescent="0.2">
      <c r="A514" t="s">
        <v>219</v>
      </c>
      <c r="B514" s="141">
        <f t="shared" si="8"/>
        <v>8.5299999999999994</v>
      </c>
      <c r="C514" s="280">
        <v>45629</v>
      </c>
      <c r="D514" s="279">
        <v>45630</v>
      </c>
      <c r="E514" s="279">
        <v>45630</v>
      </c>
      <c r="F514" s="132"/>
      <c r="G514" s="132" t="s">
        <v>1430</v>
      </c>
      <c r="H514" s="132" t="s">
        <v>373</v>
      </c>
      <c r="I514" s="132" t="s">
        <v>1100</v>
      </c>
      <c r="J514" s="132" t="s">
        <v>2052</v>
      </c>
      <c r="K514" s="132" t="s">
        <v>2170</v>
      </c>
      <c r="L514" s="132" t="s">
        <v>2171</v>
      </c>
      <c r="M514" s="132" t="s">
        <v>2344</v>
      </c>
      <c r="N514" s="132" t="s">
        <v>1105</v>
      </c>
      <c r="O514" s="132" t="s">
        <v>2345</v>
      </c>
      <c r="P514" s="132" t="s">
        <v>2287</v>
      </c>
      <c r="Q514" s="132" t="s">
        <v>1108</v>
      </c>
    </row>
    <row r="515" spans="1:17" x14ac:dyDescent="0.2">
      <c r="A515" t="s">
        <v>219</v>
      </c>
      <c r="B515" s="141">
        <f t="shared" si="8"/>
        <v>8.5299999999999994</v>
      </c>
      <c r="C515" s="280">
        <v>45629</v>
      </c>
      <c r="D515" s="279">
        <v>45631</v>
      </c>
      <c r="E515" s="279">
        <v>45631</v>
      </c>
      <c r="F515" s="132"/>
      <c r="G515" s="132" t="s">
        <v>1108</v>
      </c>
      <c r="H515" s="132" t="s">
        <v>373</v>
      </c>
      <c r="I515" s="132" t="s">
        <v>1100</v>
      </c>
      <c r="J515" s="132" t="s">
        <v>2052</v>
      </c>
      <c r="K515" s="132" t="s">
        <v>2170</v>
      </c>
      <c r="L515" s="132" t="s">
        <v>2171</v>
      </c>
      <c r="M515" s="132" t="s">
        <v>2346</v>
      </c>
      <c r="N515" s="132" t="s">
        <v>1117</v>
      </c>
      <c r="O515" s="132" t="s">
        <v>2347</v>
      </c>
      <c r="P515" s="132" t="s">
        <v>2348</v>
      </c>
      <c r="Q515" s="132" t="s">
        <v>1108</v>
      </c>
    </row>
    <row r="516" spans="1:17" x14ac:dyDescent="0.2">
      <c r="A516" t="s">
        <v>218</v>
      </c>
      <c r="B516" s="141">
        <f t="shared" si="8"/>
        <v>6.5600000000000005</v>
      </c>
      <c r="C516" s="280">
        <v>45629</v>
      </c>
      <c r="D516" s="279">
        <v>45630</v>
      </c>
      <c r="E516" s="279">
        <v>45631</v>
      </c>
      <c r="F516" s="132"/>
      <c r="G516" s="132" t="s">
        <v>1108</v>
      </c>
      <c r="H516" s="132" t="s">
        <v>373</v>
      </c>
      <c r="I516" s="132" t="s">
        <v>1100</v>
      </c>
      <c r="J516" s="132" t="s">
        <v>2041</v>
      </c>
      <c r="K516" s="132" t="s">
        <v>2042</v>
      </c>
      <c r="L516" s="132" t="s">
        <v>2043</v>
      </c>
      <c r="M516" s="132" t="s">
        <v>2349</v>
      </c>
      <c r="N516" s="132" t="s">
        <v>1117</v>
      </c>
      <c r="O516" s="132" t="s">
        <v>2350</v>
      </c>
      <c r="P516" s="132" t="s">
        <v>2348</v>
      </c>
      <c r="Q516" s="132" t="s">
        <v>1108</v>
      </c>
    </row>
    <row r="517" spans="1:17" x14ac:dyDescent="0.2">
      <c r="A517" t="s">
        <v>219</v>
      </c>
      <c r="B517" s="141">
        <f t="shared" si="8"/>
        <v>8.4700000000000006</v>
      </c>
      <c r="C517" s="280">
        <v>45629</v>
      </c>
      <c r="D517" s="279">
        <v>45630</v>
      </c>
      <c r="E517" s="279">
        <v>45631</v>
      </c>
      <c r="F517" s="132"/>
      <c r="G517" s="132" t="s">
        <v>1108</v>
      </c>
      <c r="H517" s="132" t="s">
        <v>373</v>
      </c>
      <c r="I517" s="132" t="s">
        <v>1100</v>
      </c>
      <c r="J517" s="132" t="s">
        <v>2052</v>
      </c>
      <c r="K517" s="132" t="s">
        <v>2053</v>
      </c>
      <c r="L517" s="132" t="s">
        <v>2054</v>
      </c>
      <c r="M517" s="132" t="s">
        <v>2351</v>
      </c>
      <c r="N517" s="132" t="s">
        <v>1112</v>
      </c>
      <c r="O517" s="132" t="s">
        <v>2352</v>
      </c>
      <c r="P517" s="132" t="s">
        <v>2348</v>
      </c>
      <c r="Q517" s="132" t="s">
        <v>1108</v>
      </c>
    </row>
    <row r="518" spans="1:17" x14ac:dyDescent="0.2">
      <c r="A518" t="s">
        <v>218</v>
      </c>
      <c r="B518" s="141">
        <f t="shared" si="8"/>
        <v>6.5600000000000005</v>
      </c>
      <c r="C518" s="280">
        <v>45629</v>
      </c>
      <c r="D518" s="279">
        <v>45630</v>
      </c>
      <c r="E518" s="279">
        <v>45631</v>
      </c>
      <c r="F518" s="132"/>
      <c r="G518" s="132" t="s">
        <v>1108</v>
      </c>
      <c r="H518" s="132" t="s">
        <v>373</v>
      </c>
      <c r="I518" s="132" t="s">
        <v>1100</v>
      </c>
      <c r="J518" s="132" t="s">
        <v>2041</v>
      </c>
      <c r="K518" s="132" t="s">
        <v>2042</v>
      </c>
      <c r="L518" s="132" t="s">
        <v>2043</v>
      </c>
      <c r="M518" s="132" t="s">
        <v>2353</v>
      </c>
      <c r="N518" s="132" t="s">
        <v>1117</v>
      </c>
      <c r="O518" s="132" t="s">
        <v>2354</v>
      </c>
      <c r="P518" s="132" t="s">
        <v>2348</v>
      </c>
      <c r="Q518" s="132" t="s">
        <v>1108</v>
      </c>
    </row>
    <row r="519" spans="1:17" x14ac:dyDescent="0.2">
      <c r="A519" t="s">
        <v>218</v>
      </c>
      <c r="B519" s="141">
        <f t="shared" si="8"/>
        <v>6.5200000000000005</v>
      </c>
      <c r="C519" s="280">
        <v>45629</v>
      </c>
      <c r="D519" s="279">
        <v>45630</v>
      </c>
      <c r="E519" s="279">
        <v>45631</v>
      </c>
      <c r="F519" s="132"/>
      <c r="G519" s="132" t="s">
        <v>1108</v>
      </c>
      <c r="H519" s="132" t="s">
        <v>373</v>
      </c>
      <c r="I519" s="132" t="s">
        <v>1100</v>
      </c>
      <c r="J519" s="132" t="s">
        <v>2041</v>
      </c>
      <c r="K519" s="132" t="s">
        <v>2066</v>
      </c>
      <c r="L519" s="132" t="s">
        <v>2067</v>
      </c>
      <c r="M519" s="132" t="s">
        <v>2355</v>
      </c>
      <c r="N519" s="132" t="s">
        <v>1112</v>
      </c>
      <c r="O519" s="132" t="s">
        <v>2356</v>
      </c>
      <c r="P519" s="132" t="s">
        <v>2348</v>
      </c>
      <c r="Q519" s="132" t="s">
        <v>1108</v>
      </c>
    </row>
    <row r="520" spans="1:17" x14ac:dyDescent="0.2">
      <c r="A520" t="s">
        <v>219</v>
      </c>
      <c r="B520" s="141">
        <f t="shared" si="8"/>
        <v>8.5299999999999994</v>
      </c>
      <c r="C520" s="280">
        <v>45629</v>
      </c>
      <c r="D520" s="279">
        <v>45630</v>
      </c>
      <c r="E520" s="279">
        <v>45631</v>
      </c>
      <c r="F520" s="132"/>
      <c r="G520" s="132" t="s">
        <v>1108</v>
      </c>
      <c r="H520" s="132" t="s">
        <v>373</v>
      </c>
      <c r="I520" s="132" t="s">
        <v>1100</v>
      </c>
      <c r="J520" s="132" t="s">
        <v>2052</v>
      </c>
      <c r="K520" s="132" t="s">
        <v>2170</v>
      </c>
      <c r="L520" s="132" t="s">
        <v>2171</v>
      </c>
      <c r="M520" s="132" t="s">
        <v>2357</v>
      </c>
      <c r="N520" s="132" t="s">
        <v>1117</v>
      </c>
      <c r="O520" s="132" t="s">
        <v>2358</v>
      </c>
      <c r="P520" s="132" t="s">
        <v>2348</v>
      </c>
      <c r="Q520" s="132" t="s">
        <v>1108</v>
      </c>
    </row>
    <row r="521" spans="1:17" x14ac:dyDescent="0.2">
      <c r="A521" t="s">
        <v>218</v>
      </c>
      <c r="B521" s="141">
        <f t="shared" si="8"/>
        <v>6.5200000000000005</v>
      </c>
      <c r="C521" s="280">
        <v>45629</v>
      </c>
      <c r="D521" s="279">
        <v>45630</v>
      </c>
      <c r="E521" s="279">
        <v>45631</v>
      </c>
      <c r="F521" s="132"/>
      <c r="G521" s="132" t="s">
        <v>1108</v>
      </c>
      <c r="H521" s="132" t="s">
        <v>373</v>
      </c>
      <c r="I521" s="132" t="s">
        <v>1100</v>
      </c>
      <c r="J521" s="132" t="s">
        <v>2041</v>
      </c>
      <c r="K521" s="132" t="s">
        <v>2066</v>
      </c>
      <c r="L521" s="132" t="s">
        <v>2067</v>
      </c>
      <c r="M521" s="132" t="s">
        <v>2359</v>
      </c>
      <c r="N521" s="132" t="s">
        <v>1112</v>
      </c>
      <c r="O521" s="132" t="s">
        <v>2360</v>
      </c>
      <c r="P521" s="132" t="s">
        <v>2348</v>
      </c>
      <c r="Q521" s="132" t="s">
        <v>1108</v>
      </c>
    </row>
    <row r="522" spans="1:17" x14ac:dyDescent="0.2">
      <c r="A522" t="s">
        <v>218</v>
      </c>
      <c r="B522" s="141">
        <f t="shared" si="8"/>
        <v>6.5600000000000005</v>
      </c>
      <c r="C522" s="280">
        <v>45629</v>
      </c>
      <c r="D522" s="279">
        <v>45631</v>
      </c>
      <c r="E522" s="279">
        <v>45631</v>
      </c>
      <c r="F522" s="132"/>
      <c r="G522" s="132" t="s">
        <v>1108</v>
      </c>
      <c r="H522" s="132" t="s">
        <v>373</v>
      </c>
      <c r="I522" s="132" t="s">
        <v>1100</v>
      </c>
      <c r="J522" s="132" t="s">
        <v>2041</v>
      </c>
      <c r="K522" s="132" t="s">
        <v>2042</v>
      </c>
      <c r="L522" s="132" t="s">
        <v>2043</v>
      </c>
      <c r="M522" s="132" t="s">
        <v>2361</v>
      </c>
      <c r="N522" s="132" t="s">
        <v>1117</v>
      </c>
      <c r="O522" s="132" t="s">
        <v>2362</v>
      </c>
      <c r="P522" s="132" t="s">
        <v>2348</v>
      </c>
      <c r="Q522" s="132" t="s">
        <v>1108</v>
      </c>
    </row>
    <row r="523" spans="1:17" x14ac:dyDescent="0.2">
      <c r="A523" t="s">
        <v>193</v>
      </c>
      <c r="B523" s="141">
        <f t="shared" si="8"/>
        <v>2.15</v>
      </c>
      <c r="C523" s="280">
        <v>45629</v>
      </c>
      <c r="D523" s="279">
        <v>45631</v>
      </c>
      <c r="E523" s="279">
        <v>45631</v>
      </c>
      <c r="F523" s="132"/>
      <c r="G523" s="132" t="s">
        <v>1402</v>
      </c>
      <c r="H523" s="132" t="s">
        <v>373</v>
      </c>
      <c r="I523" s="132" t="s">
        <v>1100</v>
      </c>
      <c r="J523" s="132" t="s">
        <v>2225</v>
      </c>
      <c r="K523" s="132" t="s">
        <v>2226</v>
      </c>
      <c r="L523" s="132" t="s">
        <v>2227</v>
      </c>
      <c r="M523" s="132" t="s">
        <v>2363</v>
      </c>
      <c r="N523" s="132" t="s">
        <v>1105</v>
      </c>
      <c r="O523" s="132" t="s">
        <v>2364</v>
      </c>
      <c r="P523" s="132" t="s">
        <v>2348</v>
      </c>
      <c r="Q523" s="132" t="s">
        <v>1108</v>
      </c>
    </row>
    <row r="524" spans="1:17" x14ac:dyDescent="0.2">
      <c r="A524" t="s">
        <v>218</v>
      </c>
      <c r="B524" s="141">
        <f t="shared" si="8"/>
        <v>6.5200000000000005</v>
      </c>
      <c r="C524" s="280">
        <v>45629</v>
      </c>
      <c r="D524" s="279">
        <v>45630</v>
      </c>
      <c r="E524" s="279">
        <v>45631</v>
      </c>
      <c r="F524" s="132"/>
      <c r="G524" s="132" t="s">
        <v>1108</v>
      </c>
      <c r="H524" s="132" t="s">
        <v>373</v>
      </c>
      <c r="I524" s="132" t="s">
        <v>1100</v>
      </c>
      <c r="J524" s="132" t="s">
        <v>2041</v>
      </c>
      <c r="K524" s="132" t="s">
        <v>2066</v>
      </c>
      <c r="L524" s="132" t="s">
        <v>2067</v>
      </c>
      <c r="M524" s="132" t="s">
        <v>2365</v>
      </c>
      <c r="N524" s="132" t="s">
        <v>1112</v>
      </c>
      <c r="O524" s="132" t="s">
        <v>2366</v>
      </c>
      <c r="P524" s="132" t="s">
        <v>2348</v>
      </c>
      <c r="Q524" s="132" t="s">
        <v>1108</v>
      </c>
    </row>
    <row r="525" spans="1:17" x14ac:dyDescent="0.2">
      <c r="A525" t="s">
        <v>219</v>
      </c>
      <c r="B525" s="141">
        <f t="shared" si="8"/>
        <v>17.36</v>
      </c>
      <c r="C525" s="280">
        <v>45629</v>
      </c>
      <c r="D525" s="279">
        <v>45630</v>
      </c>
      <c r="E525" s="279">
        <v>45631</v>
      </c>
      <c r="F525" s="132"/>
      <c r="G525" s="132" t="s">
        <v>2367</v>
      </c>
      <c r="H525" s="132" t="s">
        <v>373</v>
      </c>
      <c r="I525" s="132" t="s">
        <v>1100</v>
      </c>
      <c r="J525" s="132" t="s">
        <v>2092</v>
      </c>
      <c r="K525" s="132" t="s">
        <v>2368</v>
      </c>
      <c r="L525" s="132" t="s">
        <v>2369</v>
      </c>
      <c r="M525" s="132" t="s">
        <v>2370</v>
      </c>
      <c r="N525" s="132" t="s">
        <v>1105</v>
      </c>
      <c r="O525" s="132" t="s">
        <v>2371</v>
      </c>
      <c r="P525" s="132" t="s">
        <v>2348</v>
      </c>
      <c r="Q525" s="132" t="s">
        <v>1108</v>
      </c>
    </row>
    <row r="526" spans="1:17" x14ac:dyDescent="0.2">
      <c r="A526" t="s">
        <v>218</v>
      </c>
      <c r="B526" s="141">
        <f t="shared" si="8"/>
        <v>6.5600000000000005</v>
      </c>
      <c r="C526" s="280">
        <v>45629</v>
      </c>
      <c r="D526" s="279">
        <v>45630</v>
      </c>
      <c r="E526" s="279">
        <v>45631</v>
      </c>
      <c r="F526" s="132"/>
      <c r="G526" s="132" t="s">
        <v>1108</v>
      </c>
      <c r="H526" s="132" t="s">
        <v>373</v>
      </c>
      <c r="I526" s="132" t="s">
        <v>1100</v>
      </c>
      <c r="J526" s="132" t="s">
        <v>2041</v>
      </c>
      <c r="K526" s="132" t="s">
        <v>2042</v>
      </c>
      <c r="L526" s="132" t="s">
        <v>2043</v>
      </c>
      <c r="M526" s="132" t="s">
        <v>2372</v>
      </c>
      <c r="N526" s="132" t="s">
        <v>1117</v>
      </c>
      <c r="O526" s="132" t="s">
        <v>2373</v>
      </c>
      <c r="P526" s="132" t="s">
        <v>2348</v>
      </c>
      <c r="Q526" s="132" t="s">
        <v>1108</v>
      </c>
    </row>
    <row r="527" spans="1:17" x14ac:dyDescent="0.2">
      <c r="A527" t="s">
        <v>219</v>
      </c>
      <c r="B527" s="141">
        <f t="shared" si="8"/>
        <v>8.4700000000000006</v>
      </c>
      <c r="C527" s="280">
        <v>45629</v>
      </c>
      <c r="D527" s="279">
        <v>45630</v>
      </c>
      <c r="E527" s="279">
        <v>45631</v>
      </c>
      <c r="F527" s="132"/>
      <c r="G527" s="132" t="s">
        <v>1108</v>
      </c>
      <c r="H527" s="132" t="s">
        <v>373</v>
      </c>
      <c r="I527" s="132" t="s">
        <v>1100</v>
      </c>
      <c r="J527" s="132" t="s">
        <v>2052</v>
      </c>
      <c r="K527" s="132" t="s">
        <v>2053</v>
      </c>
      <c r="L527" s="132" t="s">
        <v>2054</v>
      </c>
      <c r="M527" s="132" t="s">
        <v>2374</v>
      </c>
      <c r="N527" s="132" t="s">
        <v>1112</v>
      </c>
      <c r="O527" s="132" t="s">
        <v>2375</v>
      </c>
      <c r="P527" s="132" t="s">
        <v>2348</v>
      </c>
      <c r="Q527" s="132" t="s">
        <v>1108</v>
      </c>
    </row>
    <row r="528" spans="1:17" x14ac:dyDescent="0.2">
      <c r="A528" t="s">
        <v>219</v>
      </c>
      <c r="B528" s="141">
        <f t="shared" si="8"/>
        <v>35.020000000000003</v>
      </c>
      <c r="C528" s="280">
        <v>45629</v>
      </c>
      <c r="D528" s="279">
        <v>45631</v>
      </c>
      <c r="E528" s="279">
        <v>45631</v>
      </c>
      <c r="F528" s="132"/>
      <c r="G528" s="132" t="s">
        <v>2376</v>
      </c>
      <c r="H528" s="132" t="s">
        <v>373</v>
      </c>
      <c r="I528" s="132" t="s">
        <v>1100</v>
      </c>
      <c r="J528" s="132" t="s">
        <v>2377</v>
      </c>
      <c r="K528" s="132" t="s">
        <v>2378</v>
      </c>
      <c r="L528" s="132" t="s">
        <v>2379</v>
      </c>
      <c r="M528" s="132" t="s">
        <v>2380</v>
      </c>
      <c r="N528" s="132" t="s">
        <v>1105</v>
      </c>
      <c r="O528" s="132" t="s">
        <v>2381</v>
      </c>
      <c r="P528" s="132" t="s">
        <v>2348</v>
      </c>
      <c r="Q528" s="132" t="s">
        <v>1108</v>
      </c>
    </row>
    <row r="529" spans="1:17" x14ac:dyDescent="0.2">
      <c r="A529" t="s">
        <v>219</v>
      </c>
      <c r="B529" s="141">
        <f t="shared" si="8"/>
        <v>8.5299999999999994</v>
      </c>
      <c r="C529" s="280">
        <v>45629</v>
      </c>
      <c r="D529" s="279">
        <v>45630</v>
      </c>
      <c r="E529" s="279">
        <v>45631</v>
      </c>
      <c r="F529" s="132"/>
      <c r="G529" s="132" t="s">
        <v>1108</v>
      </c>
      <c r="H529" s="132" t="s">
        <v>373</v>
      </c>
      <c r="I529" s="132" t="s">
        <v>1100</v>
      </c>
      <c r="J529" s="132" t="s">
        <v>2052</v>
      </c>
      <c r="K529" s="132" t="s">
        <v>2170</v>
      </c>
      <c r="L529" s="132" t="s">
        <v>2171</v>
      </c>
      <c r="M529" s="132" t="s">
        <v>2382</v>
      </c>
      <c r="N529" s="132" t="s">
        <v>1117</v>
      </c>
      <c r="O529" s="132" t="s">
        <v>2383</v>
      </c>
      <c r="P529" s="132" t="s">
        <v>2348</v>
      </c>
      <c r="Q529" s="132" t="s">
        <v>1108</v>
      </c>
    </row>
    <row r="530" spans="1:17" x14ac:dyDescent="0.2">
      <c r="A530" t="s">
        <v>218</v>
      </c>
      <c r="B530" s="141">
        <f t="shared" si="8"/>
        <v>6.5600000000000005</v>
      </c>
      <c r="C530" s="280">
        <v>45629</v>
      </c>
      <c r="D530" s="279">
        <v>45630</v>
      </c>
      <c r="E530" s="279">
        <v>45631</v>
      </c>
      <c r="F530" s="132"/>
      <c r="G530" s="132" t="s">
        <v>2384</v>
      </c>
      <c r="H530" s="132" t="s">
        <v>373</v>
      </c>
      <c r="I530" s="132" t="s">
        <v>1100</v>
      </c>
      <c r="J530" s="132" t="s">
        <v>2041</v>
      </c>
      <c r="K530" s="132" t="s">
        <v>2042</v>
      </c>
      <c r="L530" s="132" t="s">
        <v>2043</v>
      </c>
      <c r="M530" s="132" t="s">
        <v>2385</v>
      </c>
      <c r="N530" s="132" t="s">
        <v>1105</v>
      </c>
      <c r="O530" s="132" t="s">
        <v>2386</v>
      </c>
      <c r="P530" s="132" t="s">
        <v>2348</v>
      </c>
      <c r="Q530" s="132" t="s">
        <v>1108</v>
      </c>
    </row>
    <row r="531" spans="1:17" x14ac:dyDescent="0.2">
      <c r="A531" t="s">
        <v>219</v>
      </c>
      <c r="B531" s="141">
        <f t="shared" si="8"/>
        <v>8.5299999999999994</v>
      </c>
      <c r="C531" s="280">
        <v>45629</v>
      </c>
      <c r="D531" s="279">
        <v>45630</v>
      </c>
      <c r="E531" s="279">
        <v>45631</v>
      </c>
      <c r="F531" s="132"/>
      <c r="G531" s="132" t="s">
        <v>1108</v>
      </c>
      <c r="H531" s="132" t="s">
        <v>373</v>
      </c>
      <c r="I531" s="132" t="s">
        <v>1100</v>
      </c>
      <c r="J531" s="132" t="s">
        <v>2052</v>
      </c>
      <c r="K531" s="132" t="s">
        <v>2170</v>
      </c>
      <c r="L531" s="132" t="s">
        <v>2171</v>
      </c>
      <c r="M531" s="132" t="s">
        <v>2387</v>
      </c>
      <c r="N531" s="132" t="s">
        <v>1117</v>
      </c>
      <c r="O531" s="132" t="s">
        <v>2388</v>
      </c>
      <c r="P531" s="132" t="s">
        <v>2348</v>
      </c>
      <c r="Q531" s="132" t="s">
        <v>1108</v>
      </c>
    </row>
    <row r="532" spans="1:17" x14ac:dyDescent="0.2">
      <c r="A532" t="s">
        <v>219</v>
      </c>
      <c r="B532" s="141">
        <f t="shared" si="8"/>
        <v>8.5299999999999994</v>
      </c>
      <c r="C532" s="280">
        <v>45629</v>
      </c>
      <c r="D532" s="279">
        <v>45630</v>
      </c>
      <c r="E532" s="279">
        <v>45631</v>
      </c>
      <c r="F532" s="132"/>
      <c r="G532" s="132" t="s">
        <v>2389</v>
      </c>
      <c r="H532" s="132" t="s">
        <v>373</v>
      </c>
      <c r="I532" s="132" t="s">
        <v>1100</v>
      </c>
      <c r="J532" s="132" t="s">
        <v>2052</v>
      </c>
      <c r="K532" s="132" t="s">
        <v>2170</v>
      </c>
      <c r="L532" s="132" t="s">
        <v>2171</v>
      </c>
      <c r="M532" s="132" t="s">
        <v>2390</v>
      </c>
      <c r="N532" s="132" t="s">
        <v>1105</v>
      </c>
      <c r="O532" s="132" t="s">
        <v>2391</v>
      </c>
      <c r="P532" s="132" t="s">
        <v>2348</v>
      </c>
      <c r="Q532" s="132" t="s">
        <v>1108</v>
      </c>
    </row>
    <row r="533" spans="1:17" x14ac:dyDescent="0.2">
      <c r="A533" t="s">
        <v>219</v>
      </c>
      <c r="B533" s="141">
        <f t="shared" si="8"/>
        <v>8.4700000000000006</v>
      </c>
      <c r="C533" s="280">
        <v>45629</v>
      </c>
      <c r="D533" s="279">
        <v>45630</v>
      </c>
      <c r="E533" s="279">
        <v>45631</v>
      </c>
      <c r="F533" s="132"/>
      <c r="G533" s="132" t="s">
        <v>1108</v>
      </c>
      <c r="H533" s="132" t="s">
        <v>373</v>
      </c>
      <c r="I533" s="132" t="s">
        <v>1100</v>
      </c>
      <c r="J533" s="132" t="s">
        <v>2052</v>
      </c>
      <c r="K533" s="132" t="s">
        <v>2053</v>
      </c>
      <c r="L533" s="132" t="s">
        <v>2054</v>
      </c>
      <c r="M533" s="132" t="s">
        <v>2392</v>
      </c>
      <c r="N533" s="132" t="s">
        <v>1112</v>
      </c>
      <c r="O533" s="132" t="s">
        <v>2393</v>
      </c>
      <c r="P533" s="132" t="s">
        <v>2348</v>
      </c>
      <c r="Q533" s="132" t="s">
        <v>1108</v>
      </c>
    </row>
    <row r="534" spans="1:17" x14ac:dyDescent="0.2">
      <c r="A534" t="s">
        <v>193</v>
      </c>
      <c r="B534" s="141">
        <f t="shared" si="8"/>
        <v>2.15</v>
      </c>
      <c r="C534" s="280">
        <v>45629</v>
      </c>
      <c r="D534" s="279">
        <v>45630</v>
      </c>
      <c r="E534" s="279">
        <v>45631</v>
      </c>
      <c r="F534" s="132"/>
      <c r="G534" s="132" t="s">
        <v>1108</v>
      </c>
      <c r="H534" s="132" t="s">
        <v>373</v>
      </c>
      <c r="I534" s="132" t="s">
        <v>1100</v>
      </c>
      <c r="J534" s="132" t="s">
        <v>2225</v>
      </c>
      <c r="K534" s="132" t="s">
        <v>2226</v>
      </c>
      <c r="L534" s="132" t="s">
        <v>2227</v>
      </c>
      <c r="M534" s="132" t="s">
        <v>2394</v>
      </c>
      <c r="N534" s="132" t="s">
        <v>1117</v>
      </c>
      <c r="O534" s="132" t="s">
        <v>2395</v>
      </c>
      <c r="P534" s="132" t="s">
        <v>2348</v>
      </c>
      <c r="Q534" s="132" t="s">
        <v>1108</v>
      </c>
    </row>
    <row r="535" spans="1:17" x14ac:dyDescent="0.2">
      <c r="A535" t="s">
        <v>193</v>
      </c>
      <c r="B535" s="141">
        <f t="shared" si="8"/>
        <v>2.15</v>
      </c>
      <c r="C535" s="280">
        <v>45629</v>
      </c>
      <c r="D535" s="279">
        <v>45630</v>
      </c>
      <c r="E535" s="279">
        <v>45631</v>
      </c>
      <c r="F535" s="132"/>
      <c r="G535" s="132" t="s">
        <v>1108</v>
      </c>
      <c r="H535" s="132" t="s">
        <v>373</v>
      </c>
      <c r="I535" s="132" t="s">
        <v>1100</v>
      </c>
      <c r="J535" s="132" t="s">
        <v>2225</v>
      </c>
      <c r="K535" s="132" t="s">
        <v>2226</v>
      </c>
      <c r="L535" s="132" t="s">
        <v>2227</v>
      </c>
      <c r="M535" s="132" t="s">
        <v>2396</v>
      </c>
      <c r="N535" s="132" t="s">
        <v>1117</v>
      </c>
      <c r="O535" s="132" t="s">
        <v>2397</v>
      </c>
      <c r="P535" s="132" t="s">
        <v>2348</v>
      </c>
      <c r="Q535" s="132" t="s">
        <v>1108</v>
      </c>
    </row>
    <row r="536" spans="1:17" x14ac:dyDescent="0.2">
      <c r="A536" t="s">
        <v>194</v>
      </c>
      <c r="B536" s="141">
        <f t="shared" si="8"/>
        <v>4.09</v>
      </c>
      <c r="C536" s="280">
        <v>45629</v>
      </c>
      <c r="D536" s="279">
        <v>45630</v>
      </c>
      <c r="E536" s="279">
        <v>45631</v>
      </c>
      <c r="F536" s="132"/>
      <c r="G536" s="132" t="s">
        <v>1108</v>
      </c>
      <c r="H536" s="132" t="s">
        <v>373</v>
      </c>
      <c r="I536" s="132" t="s">
        <v>1100</v>
      </c>
      <c r="J536" s="132" t="s">
        <v>1754</v>
      </c>
      <c r="K536" s="132" t="s">
        <v>1792</v>
      </c>
      <c r="L536" s="132" t="s">
        <v>1793</v>
      </c>
      <c r="M536" s="132" t="s">
        <v>2398</v>
      </c>
      <c r="N536" s="132" t="s">
        <v>1112</v>
      </c>
      <c r="O536" s="132" t="s">
        <v>2399</v>
      </c>
      <c r="P536" s="132" t="s">
        <v>2348</v>
      </c>
      <c r="Q536" s="132" t="s">
        <v>1108</v>
      </c>
    </row>
    <row r="537" spans="1:17" x14ac:dyDescent="0.2">
      <c r="A537" t="s">
        <v>193</v>
      </c>
      <c r="B537" s="141">
        <f t="shared" si="8"/>
        <v>2.14</v>
      </c>
      <c r="C537" s="280">
        <v>45629</v>
      </c>
      <c r="D537" s="279">
        <v>45630</v>
      </c>
      <c r="E537" s="279">
        <v>45631</v>
      </c>
      <c r="F537" s="132"/>
      <c r="G537" s="132" t="s">
        <v>1108</v>
      </c>
      <c r="H537" s="132" t="s">
        <v>373</v>
      </c>
      <c r="I537" s="132" t="s">
        <v>1100</v>
      </c>
      <c r="J537" s="132" t="s">
        <v>2225</v>
      </c>
      <c r="K537" s="132" t="s">
        <v>2256</v>
      </c>
      <c r="L537" s="132" t="s">
        <v>2257</v>
      </c>
      <c r="M537" s="132" t="s">
        <v>2400</v>
      </c>
      <c r="N537" s="132" t="s">
        <v>1112</v>
      </c>
      <c r="O537" s="132" t="s">
        <v>2401</v>
      </c>
      <c r="P537" s="132" t="s">
        <v>2348</v>
      </c>
      <c r="Q537" s="132" t="s">
        <v>1108</v>
      </c>
    </row>
    <row r="538" spans="1:17" x14ac:dyDescent="0.2">
      <c r="A538" t="s">
        <v>218</v>
      </c>
      <c r="B538" s="141">
        <f t="shared" si="8"/>
        <v>6.5600000000000005</v>
      </c>
      <c r="C538" s="280">
        <v>45629</v>
      </c>
      <c r="D538" s="279">
        <v>45630</v>
      </c>
      <c r="E538" s="279">
        <v>45631</v>
      </c>
      <c r="F538" s="132"/>
      <c r="G538" s="132" t="s">
        <v>2402</v>
      </c>
      <c r="H538" s="132" t="s">
        <v>373</v>
      </c>
      <c r="I538" s="132" t="s">
        <v>1100</v>
      </c>
      <c r="J538" s="132" t="s">
        <v>2041</v>
      </c>
      <c r="K538" s="132" t="s">
        <v>2042</v>
      </c>
      <c r="L538" s="132" t="s">
        <v>2043</v>
      </c>
      <c r="M538" s="132" t="s">
        <v>2403</v>
      </c>
      <c r="N538" s="132" t="s">
        <v>1105</v>
      </c>
      <c r="O538" s="132" t="s">
        <v>2404</v>
      </c>
      <c r="P538" s="132" t="s">
        <v>2348</v>
      </c>
      <c r="Q538" s="132" t="s">
        <v>1108</v>
      </c>
    </row>
    <row r="539" spans="1:17" x14ac:dyDescent="0.2">
      <c r="A539" t="s">
        <v>218</v>
      </c>
      <c r="B539" s="141">
        <f t="shared" si="8"/>
        <v>6.5600000000000005</v>
      </c>
      <c r="C539" s="280">
        <v>45629</v>
      </c>
      <c r="D539" s="279">
        <v>45630</v>
      </c>
      <c r="E539" s="279">
        <v>45631</v>
      </c>
      <c r="F539" s="132"/>
      <c r="G539" s="132" t="s">
        <v>1108</v>
      </c>
      <c r="H539" s="132" t="s">
        <v>373</v>
      </c>
      <c r="I539" s="132" t="s">
        <v>1100</v>
      </c>
      <c r="J539" s="132" t="s">
        <v>2041</v>
      </c>
      <c r="K539" s="132" t="s">
        <v>2042</v>
      </c>
      <c r="L539" s="132" t="s">
        <v>2043</v>
      </c>
      <c r="M539" s="132" t="s">
        <v>2405</v>
      </c>
      <c r="N539" s="132" t="s">
        <v>1117</v>
      </c>
      <c r="O539" s="132" t="s">
        <v>2406</v>
      </c>
      <c r="P539" s="132" t="s">
        <v>2348</v>
      </c>
      <c r="Q539" s="132" t="s">
        <v>1108</v>
      </c>
    </row>
    <row r="540" spans="1:17" x14ac:dyDescent="0.2">
      <c r="A540" t="s">
        <v>218</v>
      </c>
      <c r="B540" s="141">
        <f t="shared" si="8"/>
        <v>6.5600000000000005</v>
      </c>
      <c r="C540" s="280">
        <v>45629</v>
      </c>
      <c r="D540" s="279">
        <v>45630</v>
      </c>
      <c r="E540" s="279">
        <v>45631</v>
      </c>
      <c r="F540" s="132"/>
      <c r="G540" s="132" t="s">
        <v>1108</v>
      </c>
      <c r="H540" s="132" t="s">
        <v>373</v>
      </c>
      <c r="I540" s="132" t="s">
        <v>1100</v>
      </c>
      <c r="J540" s="132" t="s">
        <v>2041</v>
      </c>
      <c r="K540" s="132" t="s">
        <v>2042</v>
      </c>
      <c r="L540" s="132" t="s">
        <v>2043</v>
      </c>
      <c r="M540" s="132" t="s">
        <v>2407</v>
      </c>
      <c r="N540" s="132" t="s">
        <v>1117</v>
      </c>
      <c r="O540" s="132" t="s">
        <v>2408</v>
      </c>
      <c r="P540" s="132" t="s">
        <v>2348</v>
      </c>
      <c r="Q540" s="132" t="s">
        <v>1108</v>
      </c>
    </row>
    <row r="541" spans="1:17" x14ac:dyDescent="0.2">
      <c r="A541" t="s">
        <v>193</v>
      </c>
      <c r="B541" s="141">
        <f t="shared" si="8"/>
        <v>2.15</v>
      </c>
      <c r="C541" s="280">
        <v>45629</v>
      </c>
      <c r="D541" s="279">
        <v>45630</v>
      </c>
      <c r="E541" s="279">
        <v>45631</v>
      </c>
      <c r="F541" s="132"/>
      <c r="G541" s="132" t="s">
        <v>1108</v>
      </c>
      <c r="H541" s="132" t="s">
        <v>373</v>
      </c>
      <c r="I541" s="132" t="s">
        <v>1100</v>
      </c>
      <c r="J541" s="132" t="s">
        <v>2225</v>
      </c>
      <c r="K541" s="132" t="s">
        <v>2226</v>
      </c>
      <c r="L541" s="132" t="s">
        <v>2227</v>
      </c>
      <c r="M541" s="132" t="s">
        <v>2409</v>
      </c>
      <c r="N541" s="132" t="s">
        <v>1117</v>
      </c>
      <c r="O541" s="132" t="s">
        <v>2410</v>
      </c>
      <c r="P541" s="132" t="s">
        <v>2348</v>
      </c>
      <c r="Q541" s="132" t="s">
        <v>1108</v>
      </c>
    </row>
    <row r="542" spans="1:17" x14ac:dyDescent="0.2">
      <c r="A542" t="s">
        <v>193</v>
      </c>
      <c r="B542" s="141">
        <f t="shared" si="8"/>
        <v>2.15</v>
      </c>
      <c r="C542" s="280">
        <v>45629</v>
      </c>
      <c r="D542" s="279">
        <v>45630</v>
      </c>
      <c r="E542" s="279">
        <v>45631</v>
      </c>
      <c r="F542" s="132"/>
      <c r="G542" s="132" t="s">
        <v>1108</v>
      </c>
      <c r="H542" s="132" t="s">
        <v>373</v>
      </c>
      <c r="I542" s="132" t="s">
        <v>1100</v>
      </c>
      <c r="J542" s="132" t="s">
        <v>2225</v>
      </c>
      <c r="K542" s="132" t="s">
        <v>2226</v>
      </c>
      <c r="L542" s="132" t="s">
        <v>2227</v>
      </c>
      <c r="M542" s="132" t="s">
        <v>2411</v>
      </c>
      <c r="N542" s="132" t="s">
        <v>1117</v>
      </c>
      <c r="O542" s="132" t="s">
        <v>2412</v>
      </c>
      <c r="P542" s="132" t="s">
        <v>2348</v>
      </c>
      <c r="Q542" s="132" t="s">
        <v>1108</v>
      </c>
    </row>
    <row r="543" spans="1:17" x14ac:dyDescent="0.2">
      <c r="A543" t="s">
        <v>258</v>
      </c>
      <c r="B543" s="141">
        <f t="shared" si="8"/>
        <v>2.15</v>
      </c>
      <c r="C543" s="280">
        <v>45629</v>
      </c>
      <c r="D543" s="279">
        <v>45630</v>
      </c>
      <c r="E543" s="279">
        <v>45631</v>
      </c>
      <c r="F543" s="132"/>
      <c r="G543" s="132" t="s">
        <v>1108</v>
      </c>
      <c r="H543" s="132" t="s">
        <v>373</v>
      </c>
      <c r="I543" s="132" t="s">
        <v>1100</v>
      </c>
      <c r="J543" s="132" t="s">
        <v>2225</v>
      </c>
      <c r="K543" s="132" t="s">
        <v>2226</v>
      </c>
      <c r="L543" s="132" t="s">
        <v>2227</v>
      </c>
      <c r="M543" s="132" t="s">
        <v>2413</v>
      </c>
      <c r="N543" s="132" t="s">
        <v>1117</v>
      </c>
      <c r="O543" s="132" t="s">
        <v>2414</v>
      </c>
      <c r="P543" s="132" t="s">
        <v>2348</v>
      </c>
      <c r="Q543" s="132" t="s">
        <v>1108</v>
      </c>
    </row>
    <row r="544" spans="1:17" x14ac:dyDescent="0.2">
      <c r="A544" t="s">
        <v>218</v>
      </c>
      <c r="B544" s="141">
        <f t="shared" si="8"/>
        <v>6.5600000000000005</v>
      </c>
      <c r="C544" s="280">
        <v>45629</v>
      </c>
      <c r="D544" s="279">
        <v>45630</v>
      </c>
      <c r="E544" s="279">
        <v>45631</v>
      </c>
      <c r="F544" s="132"/>
      <c r="G544" s="132" t="s">
        <v>1108</v>
      </c>
      <c r="H544" s="132" t="s">
        <v>373</v>
      </c>
      <c r="I544" s="132" t="s">
        <v>1100</v>
      </c>
      <c r="J544" s="132" t="s">
        <v>2041</v>
      </c>
      <c r="K544" s="132" t="s">
        <v>2042</v>
      </c>
      <c r="L544" s="132" t="s">
        <v>2043</v>
      </c>
      <c r="M544" s="132" t="s">
        <v>2415</v>
      </c>
      <c r="N544" s="132" t="s">
        <v>1117</v>
      </c>
      <c r="O544" s="132" t="s">
        <v>2416</v>
      </c>
      <c r="P544" s="132" t="s">
        <v>2348</v>
      </c>
      <c r="Q544" s="132" t="s">
        <v>1108</v>
      </c>
    </row>
    <row r="545" spans="1:17" x14ac:dyDescent="0.2">
      <c r="A545" t="s">
        <v>218</v>
      </c>
      <c r="B545" s="141">
        <f t="shared" si="8"/>
        <v>6.5600000000000005</v>
      </c>
      <c r="C545" s="280">
        <v>45629</v>
      </c>
      <c r="D545" s="279">
        <v>45630</v>
      </c>
      <c r="E545" s="279">
        <v>45631</v>
      </c>
      <c r="F545" s="132"/>
      <c r="G545" s="132" t="s">
        <v>2417</v>
      </c>
      <c r="H545" s="132" t="s">
        <v>373</v>
      </c>
      <c r="I545" s="132" t="s">
        <v>1100</v>
      </c>
      <c r="J545" s="132" t="s">
        <v>2041</v>
      </c>
      <c r="K545" s="132" t="s">
        <v>2042</v>
      </c>
      <c r="L545" s="132" t="s">
        <v>2043</v>
      </c>
      <c r="M545" s="132" t="s">
        <v>2418</v>
      </c>
      <c r="N545" s="132" t="s">
        <v>1105</v>
      </c>
      <c r="O545" s="132" t="s">
        <v>2419</v>
      </c>
      <c r="P545" s="132" t="s">
        <v>2348</v>
      </c>
      <c r="Q545" s="132" t="s">
        <v>1108</v>
      </c>
    </row>
    <row r="546" spans="1:17" x14ac:dyDescent="0.2">
      <c r="A546" t="s">
        <v>258</v>
      </c>
      <c r="B546" s="141">
        <f t="shared" si="8"/>
        <v>2.15</v>
      </c>
      <c r="C546" s="280">
        <v>45630</v>
      </c>
      <c r="D546" s="279">
        <v>45631</v>
      </c>
      <c r="E546" s="279">
        <v>45631</v>
      </c>
      <c r="F546" s="132"/>
      <c r="G546" s="132" t="s">
        <v>1108</v>
      </c>
      <c r="H546" s="132" t="s">
        <v>373</v>
      </c>
      <c r="I546" s="132" t="s">
        <v>1100</v>
      </c>
      <c r="J546" s="132" t="s">
        <v>2225</v>
      </c>
      <c r="K546" s="132" t="s">
        <v>2226</v>
      </c>
      <c r="L546" s="132" t="s">
        <v>2227</v>
      </c>
      <c r="M546" s="281" t="s">
        <v>2420</v>
      </c>
      <c r="N546" s="132" t="s">
        <v>1117</v>
      </c>
      <c r="O546" s="132" t="s">
        <v>2421</v>
      </c>
      <c r="P546" s="132" t="s">
        <v>2348</v>
      </c>
      <c r="Q546" s="132" t="s">
        <v>1108</v>
      </c>
    </row>
    <row r="547" spans="1:17" x14ac:dyDescent="0.2">
      <c r="A547" t="s">
        <v>258</v>
      </c>
      <c r="B547" s="141">
        <f t="shared" si="8"/>
        <v>2.15</v>
      </c>
      <c r="C547" s="280">
        <v>45630</v>
      </c>
      <c r="D547" s="279">
        <v>45631</v>
      </c>
      <c r="E547" s="279">
        <v>45631</v>
      </c>
      <c r="F547" s="132"/>
      <c r="G547" s="132" t="s">
        <v>1229</v>
      </c>
      <c r="H547" s="132" t="s">
        <v>373</v>
      </c>
      <c r="I547" s="132" t="s">
        <v>1100</v>
      </c>
      <c r="J547" s="132" t="s">
        <v>2225</v>
      </c>
      <c r="K547" s="132" t="s">
        <v>2226</v>
      </c>
      <c r="L547" s="132" t="s">
        <v>2227</v>
      </c>
      <c r="M547" s="132" t="s">
        <v>2422</v>
      </c>
      <c r="N547" s="132" t="s">
        <v>1105</v>
      </c>
      <c r="O547" s="132" t="s">
        <v>2423</v>
      </c>
      <c r="P547" s="132" t="s">
        <v>2348</v>
      </c>
      <c r="Q547" s="132" t="s">
        <v>1108</v>
      </c>
    </row>
    <row r="548" spans="1:17" x14ac:dyDescent="0.2">
      <c r="A548" t="s">
        <v>193</v>
      </c>
      <c r="B548" s="141">
        <f t="shared" si="8"/>
        <v>2.15</v>
      </c>
      <c r="C548" s="280">
        <v>45630</v>
      </c>
      <c r="D548" s="279">
        <v>45631</v>
      </c>
      <c r="E548" s="279">
        <v>45631</v>
      </c>
      <c r="F548" s="132"/>
      <c r="G548" s="132" t="s">
        <v>1108</v>
      </c>
      <c r="H548" s="132" t="s">
        <v>373</v>
      </c>
      <c r="I548" s="132" t="s">
        <v>1100</v>
      </c>
      <c r="J548" s="132" t="s">
        <v>2225</v>
      </c>
      <c r="K548" s="132" t="s">
        <v>2226</v>
      </c>
      <c r="L548" s="132" t="s">
        <v>2227</v>
      </c>
      <c r="M548" s="132" t="s">
        <v>2424</v>
      </c>
      <c r="N548" s="132" t="s">
        <v>1117</v>
      </c>
      <c r="O548" s="132" t="s">
        <v>2425</v>
      </c>
      <c r="P548" s="132" t="s">
        <v>2348</v>
      </c>
      <c r="Q548" s="132" t="s">
        <v>1108</v>
      </c>
    </row>
    <row r="549" spans="1:17" x14ac:dyDescent="0.2">
      <c r="A549" t="s">
        <v>219</v>
      </c>
      <c r="B549" s="141">
        <f t="shared" si="8"/>
        <v>8.5299999999999994</v>
      </c>
      <c r="C549" s="280">
        <v>45630</v>
      </c>
      <c r="D549" s="279">
        <v>45631</v>
      </c>
      <c r="E549" s="279">
        <v>45631</v>
      </c>
      <c r="F549" s="132"/>
      <c r="G549" s="132" t="s">
        <v>1108</v>
      </c>
      <c r="H549" s="132" t="s">
        <v>373</v>
      </c>
      <c r="I549" s="132" t="s">
        <v>1100</v>
      </c>
      <c r="J549" s="132" t="s">
        <v>2052</v>
      </c>
      <c r="K549" s="132" t="s">
        <v>2170</v>
      </c>
      <c r="L549" s="132" t="s">
        <v>2171</v>
      </c>
      <c r="M549" s="132" t="s">
        <v>2426</v>
      </c>
      <c r="N549" s="132" t="s">
        <v>1117</v>
      </c>
      <c r="O549" s="132" t="s">
        <v>2427</v>
      </c>
      <c r="P549" s="132" t="s">
        <v>2348</v>
      </c>
      <c r="Q549" s="132" t="s">
        <v>1108</v>
      </c>
    </row>
    <row r="550" spans="1:17" x14ac:dyDescent="0.2">
      <c r="A550" t="s">
        <v>219</v>
      </c>
      <c r="B550" s="141">
        <f t="shared" si="8"/>
        <v>8.4700000000000006</v>
      </c>
      <c r="C550" s="280">
        <v>45630</v>
      </c>
      <c r="D550" s="279">
        <v>45630</v>
      </c>
      <c r="E550" s="279">
        <v>45631</v>
      </c>
      <c r="F550" s="132"/>
      <c r="G550" s="132" t="s">
        <v>1108</v>
      </c>
      <c r="H550" s="132" t="s">
        <v>373</v>
      </c>
      <c r="I550" s="132" t="s">
        <v>1100</v>
      </c>
      <c r="J550" s="132" t="s">
        <v>2052</v>
      </c>
      <c r="K550" s="132" t="s">
        <v>2053</v>
      </c>
      <c r="L550" s="132" t="s">
        <v>2054</v>
      </c>
      <c r="M550" s="132" t="s">
        <v>2428</v>
      </c>
      <c r="N550" s="132" t="s">
        <v>1112</v>
      </c>
      <c r="O550" s="132" t="s">
        <v>2429</v>
      </c>
      <c r="P550" s="132" t="s">
        <v>2348</v>
      </c>
      <c r="Q550" s="132" t="s">
        <v>1108</v>
      </c>
    </row>
    <row r="551" spans="1:17" x14ac:dyDescent="0.2">
      <c r="A551" t="s">
        <v>258</v>
      </c>
      <c r="B551" s="141">
        <f t="shared" si="8"/>
        <v>2.15</v>
      </c>
      <c r="C551" s="280">
        <v>45630</v>
      </c>
      <c r="D551" s="279">
        <v>45631</v>
      </c>
      <c r="E551" s="279">
        <v>45632</v>
      </c>
      <c r="F551" s="132"/>
      <c r="G551" s="132" t="s">
        <v>1108</v>
      </c>
      <c r="H551" s="132" t="s">
        <v>373</v>
      </c>
      <c r="I551" s="132" t="s">
        <v>1100</v>
      </c>
      <c r="J551" s="132" t="s">
        <v>2225</v>
      </c>
      <c r="K551" s="132" t="s">
        <v>2226</v>
      </c>
      <c r="L551" s="132" t="s">
        <v>2227</v>
      </c>
      <c r="M551" s="132" t="s">
        <v>2430</v>
      </c>
      <c r="N551" s="132" t="s">
        <v>1117</v>
      </c>
      <c r="O551" s="132" t="s">
        <v>2431</v>
      </c>
      <c r="P551" s="132" t="s">
        <v>2432</v>
      </c>
      <c r="Q551" s="132" t="s">
        <v>1108</v>
      </c>
    </row>
    <row r="552" spans="1:17" x14ac:dyDescent="0.2">
      <c r="A552" t="s">
        <v>258</v>
      </c>
      <c r="B552" s="141">
        <f t="shared" si="8"/>
        <v>2.15</v>
      </c>
      <c r="C552" s="280">
        <v>45630</v>
      </c>
      <c r="D552" s="279">
        <v>45631</v>
      </c>
      <c r="E552" s="279">
        <v>45632</v>
      </c>
      <c r="F552" s="132"/>
      <c r="G552" s="132" t="s">
        <v>1421</v>
      </c>
      <c r="H552" s="132" t="s">
        <v>373</v>
      </c>
      <c r="I552" s="132" t="s">
        <v>1100</v>
      </c>
      <c r="J552" s="132" t="s">
        <v>2225</v>
      </c>
      <c r="K552" s="132" t="s">
        <v>2226</v>
      </c>
      <c r="L552" s="132" t="s">
        <v>2227</v>
      </c>
      <c r="M552" s="132" t="s">
        <v>2433</v>
      </c>
      <c r="N552" s="132" t="s">
        <v>1105</v>
      </c>
      <c r="O552" s="132" t="s">
        <v>2434</v>
      </c>
      <c r="P552" s="132" t="s">
        <v>2432</v>
      </c>
      <c r="Q552" s="132" t="s">
        <v>1108</v>
      </c>
    </row>
    <row r="553" spans="1:17" x14ac:dyDescent="0.2">
      <c r="A553" t="s">
        <v>258</v>
      </c>
      <c r="B553" s="141">
        <f t="shared" si="8"/>
        <v>2.15</v>
      </c>
      <c r="C553" s="280">
        <v>45630</v>
      </c>
      <c r="D553" s="279">
        <v>45631</v>
      </c>
      <c r="E553" s="279">
        <v>45632</v>
      </c>
      <c r="F553" s="132"/>
      <c r="G553" s="132" t="s">
        <v>1357</v>
      </c>
      <c r="H553" s="132" t="s">
        <v>373</v>
      </c>
      <c r="I553" s="132" t="s">
        <v>1100</v>
      </c>
      <c r="J553" s="132" t="s">
        <v>2225</v>
      </c>
      <c r="K553" s="132" t="s">
        <v>2226</v>
      </c>
      <c r="L553" s="132" t="s">
        <v>2227</v>
      </c>
      <c r="M553" s="132" t="s">
        <v>2435</v>
      </c>
      <c r="N553" s="132" t="s">
        <v>1105</v>
      </c>
      <c r="O553" s="132" t="s">
        <v>2436</v>
      </c>
      <c r="P553" s="132" t="s">
        <v>2432</v>
      </c>
      <c r="Q553" s="132" t="s">
        <v>1108</v>
      </c>
    </row>
    <row r="554" spans="1:17" x14ac:dyDescent="0.2">
      <c r="A554" t="s">
        <v>258</v>
      </c>
      <c r="B554" s="141">
        <f t="shared" si="8"/>
        <v>2.15</v>
      </c>
      <c r="C554" s="280">
        <v>45631</v>
      </c>
      <c r="D554" s="279">
        <v>45632</v>
      </c>
      <c r="E554" s="279">
        <v>45632</v>
      </c>
      <c r="F554" s="132"/>
      <c r="G554" s="132" t="s">
        <v>1108</v>
      </c>
      <c r="H554" s="132" t="s">
        <v>373</v>
      </c>
      <c r="I554" s="132" t="s">
        <v>1100</v>
      </c>
      <c r="J554" s="132" t="s">
        <v>2225</v>
      </c>
      <c r="K554" s="132" t="s">
        <v>2226</v>
      </c>
      <c r="L554" s="132" t="s">
        <v>2227</v>
      </c>
      <c r="M554" s="132" t="s">
        <v>2437</v>
      </c>
      <c r="N554" s="132" t="s">
        <v>1117</v>
      </c>
      <c r="O554" s="132" t="s">
        <v>2438</v>
      </c>
      <c r="P554" s="132" t="s">
        <v>2432</v>
      </c>
      <c r="Q554" s="132" t="s">
        <v>1108</v>
      </c>
    </row>
    <row r="555" spans="1:17" x14ac:dyDescent="0.2">
      <c r="A555" t="s">
        <v>258</v>
      </c>
      <c r="B555" s="141">
        <f t="shared" si="8"/>
        <v>2.15</v>
      </c>
      <c r="C555" s="280">
        <v>45631</v>
      </c>
      <c r="D555" s="279">
        <v>45632</v>
      </c>
      <c r="E555" s="279">
        <v>45632</v>
      </c>
      <c r="F555" s="132"/>
      <c r="G555" s="132" t="s">
        <v>1813</v>
      </c>
      <c r="H555" s="132" t="s">
        <v>373</v>
      </c>
      <c r="I555" s="132" t="s">
        <v>1100</v>
      </c>
      <c r="J555" s="132" t="s">
        <v>2225</v>
      </c>
      <c r="K555" s="132" t="s">
        <v>2226</v>
      </c>
      <c r="L555" s="132" t="s">
        <v>2227</v>
      </c>
      <c r="M555" s="132" t="s">
        <v>2439</v>
      </c>
      <c r="N555" s="132" t="s">
        <v>1105</v>
      </c>
      <c r="O555" s="132" t="s">
        <v>2440</v>
      </c>
      <c r="P555" s="132" t="s">
        <v>2432</v>
      </c>
      <c r="Q555" s="132" t="s">
        <v>1108</v>
      </c>
    </row>
    <row r="556" spans="1:17" x14ac:dyDescent="0.2">
      <c r="A556" t="s">
        <v>193</v>
      </c>
      <c r="B556" s="141">
        <f t="shared" si="8"/>
        <v>2.15</v>
      </c>
      <c r="C556" s="280">
        <v>45631</v>
      </c>
      <c r="D556" s="279">
        <v>45632</v>
      </c>
      <c r="E556" s="279">
        <v>45633</v>
      </c>
      <c r="F556" s="132"/>
      <c r="G556" s="132" t="s">
        <v>1108</v>
      </c>
      <c r="H556" s="132" t="s">
        <v>373</v>
      </c>
      <c r="I556" s="132" t="s">
        <v>1100</v>
      </c>
      <c r="J556" s="132" t="s">
        <v>2225</v>
      </c>
      <c r="K556" s="132" t="s">
        <v>2226</v>
      </c>
      <c r="L556" s="132" t="s">
        <v>2227</v>
      </c>
      <c r="M556" s="132" t="s">
        <v>2441</v>
      </c>
      <c r="N556" s="132" t="s">
        <v>1117</v>
      </c>
      <c r="O556" s="132" t="s">
        <v>2442</v>
      </c>
      <c r="P556" s="132" t="s">
        <v>2443</v>
      </c>
      <c r="Q556" s="132" t="s">
        <v>1108</v>
      </c>
    </row>
    <row r="557" spans="1:17" x14ac:dyDescent="0.2">
      <c r="A557" t="s">
        <v>259</v>
      </c>
      <c r="B557" s="141">
        <f t="shared" si="8"/>
        <v>4.09</v>
      </c>
      <c r="C557" s="280">
        <v>45631</v>
      </c>
      <c r="D557" s="279">
        <v>45632</v>
      </c>
      <c r="E557" s="279">
        <v>45633</v>
      </c>
      <c r="F557" s="132"/>
      <c r="G557" s="132" t="s">
        <v>1108</v>
      </c>
      <c r="H557" s="132" t="s">
        <v>373</v>
      </c>
      <c r="I557" s="132" t="s">
        <v>1100</v>
      </c>
      <c r="J557" s="132" t="s">
        <v>1754</v>
      </c>
      <c r="K557" s="132" t="s">
        <v>1792</v>
      </c>
      <c r="L557" s="132" t="s">
        <v>1793</v>
      </c>
      <c r="M557" s="132" t="s">
        <v>2444</v>
      </c>
      <c r="N557" s="132" t="s">
        <v>1112</v>
      </c>
      <c r="O557" s="132" t="s">
        <v>2445</v>
      </c>
      <c r="P557" s="132" t="s">
        <v>2443</v>
      </c>
      <c r="Q557" s="132" t="s">
        <v>1108</v>
      </c>
    </row>
    <row r="558" spans="1:17" x14ac:dyDescent="0.2">
      <c r="A558" t="s">
        <v>193</v>
      </c>
      <c r="B558" s="141">
        <f t="shared" si="8"/>
        <v>2.14</v>
      </c>
      <c r="C558" s="280">
        <v>45631</v>
      </c>
      <c r="D558" s="279">
        <v>45632</v>
      </c>
      <c r="E558" s="279">
        <v>45633</v>
      </c>
      <c r="F558" s="132"/>
      <c r="G558" s="132" t="s">
        <v>1108</v>
      </c>
      <c r="H558" s="132" t="s">
        <v>373</v>
      </c>
      <c r="I558" s="132" t="s">
        <v>1100</v>
      </c>
      <c r="J558" s="132" t="s">
        <v>2225</v>
      </c>
      <c r="K558" s="132" t="s">
        <v>2256</v>
      </c>
      <c r="L558" s="132" t="s">
        <v>2257</v>
      </c>
      <c r="M558" s="132" t="s">
        <v>2446</v>
      </c>
      <c r="N558" s="132" t="s">
        <v>1112</v>
      </c>
      <c r="O558" s="132" t="s">
        <v>2447</v>
      </c>
      <c r="P558" s="132" t="s">
        <v>2443</v>
      </c>
      <c r="Q558" s="132" t="s">
        <v>1108</v>
      </c>
    </row>
    <row r="559" spans="1:17" x14ac:dyDescent="0.2">
      <c r="A559" t="s">
        <v>259</v>
      </c>
      <c r="B559" s="141">
        <f t="shared" si="8"/>
        <v>4.09</v>
      </c>
      <c r="C559" s="280">
        <v>45631</v>
      </c>
      <c r="D559" s="279">
        <v>45632</v>
      </c>
      <c r="E559" s="279">
        <v>45633</v>
      </c>
      <c r="F559" s="132"/>
      <c r="G559" s="132" t="s">
        <v>1108</v>
      </c>
      <c r="H559" s="132" t="s">
        <v>373</v>
      </c>
      <c r="I559" s="132" t="s">
        <v>1100</v>
      </c>
      <c r="J559" s="132" t="s">
        <v>1754</v>
      </c>
      <c r="K559" s="132" t="s">
        <v>1792</v>
      </c>
      <c r="L559" s="132" t="s">
        <v>1793</v>
      </c>
      <c r="M559" s="132" t="s">
        <v>2448</v>
      </c>
      <c r="N559" s="132" t="s">
        <v>1112</v>
      </c>
      <c r="O559" s="132" t="s">
        <v>2449</v>
      </c>
      <c r="P559" s="132" t="s">
        <v>2443</v>
      </c>
      <c r="Q559" s="132" t="s">
        <v>1108</v>
      </c>
    </row>
    <row r="560" spans="1:17" x14ac:dyDescent="0.2">
      <c r="A560" t="s">
        <v>193</v>
      </c>
      <c r="B560" s="141">
        <f t="shared" si="8"/>
        <v>2.14</v>
      </c>
      <c r="C560" s="280">
        <v>45631</v>
      </c>
      <c r="D560" s="279">
        <v>45632</v>
      </c>
      <c r="E560" s="279">
        <v>45633</v>
      </c>
      <c r="F560" s="132"/>
      <c r="G560" s="132" t="s">
        <v>1108</v>
      </c>
      <c r="H560" s="132" t="s">
        <v>373</v>
      </c>
      <c r="I560" s="132" t="s">
        <v>1100</v>
      </c>
      <c r="J560" s="132" t="s">
        <v>2225</v>
      </c>
      <c r="K560" s="132" t="s">
        <v>2256</v>
      </c>
      <c r="L560" s="132" t="s">
        <v>2257</v>
      </c>
      <c r="M560" s="132" t="s">
        <v>2450</v>
      </c>
      <c r="N560" s="132" t="s">
        <v>1112</v>
      </c>
      <c r="O560" s="132" t="s">
        <v>2451</v>
      </c>
      <c r="P560" s="132" t="s">
        <v>2443</v>
      </c>
      <c r="Q560" s="132" t="s">
        <v>1108</v>
      </c>
    </row>
    <row r="561" spans="1:17" x14ac:dyDescent="0.2">
      <c r="A561" t="s">
        <v>259</v>
      </c>
      <c r="B561" s="141">
        <f t="shared" si="8"/>
        <v>4.1100000000000003</v>
      </c>
      <c r="C561" s="280">
        <v>45631</v>
      </c>
      <c r="D561" s="279">
        <v>45632</v>
      </c>
      <c r="E561" s="279">
        <v>45633</v>
      </c>
      <c r="F561" s="132"/>
      <c r="G561" s="132" t="s">
        <v>1108</v>
      </c>
      <c r="H561" s="132" t="s">
        <v>373</v>
      </c>
      <c r="I561" s="132" t="s">
        <v>1100</v>
      </c>
      <c r="J561" s="132" t="s">
        <v>1754</v>
      </c>
      <c r="K561" s="132" t="s">
        <v>1755</v>
      </c>
      <c r="L561" s="132" t="s">
        <v>1756</v>
      </c>
      <c r="M561" s="132" t="s">
        <v>2452</v>
      </c>
      <c r="N561" s="132" t="s">
        <v>1117</v>
      </c>
      <c r="O561" s="132" t="s">
        <v>2453</v>
      </c>
      <c r="P561" s="132" t="s">
        <v>2443</v>
      </c>
      <c r="Q561" s="132" t="s">
        <v>1108</v>
      </c>
    </row>
    <row r="562" spans="1:17" x14ac:dyDescent="0.2">
      <c r="A562" t="s">
        <v>258</v>
      </c>
      <c r="B562" s="141">
        <f t="shared" si="8"/>
        <v>2.15</v>
      </c>
      <c r="C562" s="280">
        <v>45631</v>
      </c>
      <c r="D562" s="279">
        <v>45632</v>
      </c>
      <c r="E562" s="279">
        <v>45633</v>
      </c>
      <c r="F562" s="132"/>
      <c r="G562" s="132" t="s">
        <v>1108</v>
      </c>
      <c r="H562" s="132" t="s">
        <v>373</v>
      </c>
      <c r="I562" s="132" t="s">
        <v>1100</v>
      </c>
      <c r="J562" s="132" t="s">
        <v>2225</v>
      </c>
      <c r="K562" s="132" t="s">
        <v>2226</v>
      </c>
      <c r="L562" s="132" t="s">
        <v>2227</v>
      </c>
      <c r="M562" s="132" t="s">
        <v>2454</v>
      </c>
      <c r="N562" s="132" t="s">
        <v>1117</v>
      </c>
      <c r="O562" s="132" t="s">
        <v>2455</v>
      </c>
      <c r="P562" s="132" t="s">
        <v>2443</v>
      </c>
      <c r="Q562" s="132" t="s">
        <v>1108</v>
      </c>
    </row>
    <row r="563" spans="1:17" x14ac:dyDescent="0.2">
      <c r="A563" t="s">
        <v>258</v>
      </c>
      <c r="B563" s="141">
        <f t="shared" si="8"/>
        <v>2.15</v>
      </c>
      <c r="C563" s="280">
        <v>45631</v>
      </c>
      <c r="D563" s="279">
        <v>45632</v>
      </c>
      <c r="E563" s="279">
        <v>45633</v>
      </c>
      <c r="F563" s="132"/>
      <c r="G563" s="132" t="s">
        <v>1108</v>
      </c>
      <c r="H563" s="132" t="s">
        <v>373</v>
      </c>
      <c r="I563" s="132" t="s">
        <v>1100</v>
      </c>
      <c r="J563" s="132" t="s">
        <v>2225</v>
      </c>
      <c r="K563" s="132" t="s">
        <v>2226</v>
      </c>
      <c r="L563" s="132" t="s">
        <v>2227</v>
      </c>
      <c r="M563" s="132" t="s">
        <v>2456</v>
      </c>
      <c r="N563" s="132" t="s">
        <v>1117</v>
      </c>
      <c r="O563" s="132" t="s">
        <v>2457</v>
      </c>
      <c r="P563" s="132" t="s">
        <v>2443</v>
      </c>
      <c r="Q563" s="132" t="s">
        <v>1108</v>
      </c>
    </row>
    <row r="564" spans="1:17" x14ac:dyDescent="0.2">
      <c r="A564" t="s">
        <v>193</v>
      </c>
      <c r="B564" s="141">
        <f t="shared" si="8"/>
        <v>2.14</v>
      </c>
      <c r="C564" s="280">
        <v>45632</v>
      </c>
      <c r="D564" s="279">
        <v>45632</v>
      </c>
      <c r="E564" s="279">
        <v>45633</v>
      </c>
      <c r="F564" s="132"/>
      <c r="G564" s="132" t="s">
        <v>1108</v>
      </c>
      <c r="H564" s="132" t="s">
        <v>373</v>
      </c>
      <c r="I564" s="132" t="s">
        <v>1100</v>
      </c>
      <c r="J564" s="132" t="s">
        <v>2225</v>
      </c>
      <c r="K564" s="132" t="s">
        <v>2256</v>
      </c>
      <c r="L564" s="132" t="s">
        <v>2257</v>
      </c>
      <c r="M564" s="132" t="s">
        <v>2458</v>
      </c>
      <c r="N564" s="132" t="s">
        <v>1112</v>
      </c>
      <c r="O564" s="132" t="s">
        <v>2459</v>
      </c>
      <c r="P564" s="132" t="s">
        <v>2443</v>
      </c>
      <c r="Q564" s="132" t="s">
        <v>1108</v>
      </c>
    </row>
    <row r="565" spans="1:17" x14ac:dyDescent="0.2">
      <c r="A565" t="s">
        <v>193</v>
      </c>
      <c r="B565" s="141">
        <f t="shared" si="8"/>
        <v>2.14</v>
      </c>
      <c r="C565" s="280">
        <v>45632</v>
      </c>
      <c r="D565" s="279">
        <v>45632</v>
      </c>
      <c r="E565" s="279">
        <v>45633</v>
      </c>
      <c r="F565" s="132"/>
      <c r="G565" s="132" t="s">
        <v>1108</v>
      </c>
      <c r="H565" s="132" t="s">
        <v>373</v>
      </c>
      <c r="I565" s="132" t="s">
        <v>1100</v>
      </c>
      <c r="J565" s="132" t="s">
        <v>2225</v>
      </c>
      <c r="K565" s="132" t="s">
        <v>2256</v>
      </c>
      <c r="L565" s="132" t="s">
        <v>2257</v>
      </c>
      <c r="M565" s="132" t="s">
        <v>2460</v>
      </c>
      <c r="N565" s="132" t="s">
        <v>1112</v>
      </c>
      <c r="O565" s="132" t="s">
        <v>2461</v>
      </c>
      <c r="P565" s="132" t="s">
        <v>2443</v>
      </c>
      <c r="Q565" s="132" t="s">
        <v>1108</v>
      </c>
    </row>
    <row r="566" spans="1:17" x14ac:dyDescent="0.2">
      <c r="A566" t="s">
        <v>81</v>
      </c>
      <c r="B566" s="141">
        <f t="shared" si="8"/>
        <v>56.6</v>
      </c>
      <c r="C566" s="280">
        <v>45632</v>
      </c>
      <c r="D566" s="279">
        <v>45634</v>
      </c>
      <c r="E566" s="279">
        <v>45635</v>
      </c>
      <c r="F566" s="132"/>
      <c r="G566" s="132" t="s">
        <v>2462</v>
      </c>
      <c r="H566" s="132" t="s">
        <v>373</v>
      </c>
      <c r="I566" s="132" t="s">
        <v>1100</v>
      </c>
      <c r="J566" s="132" t="s">
        <v>1261</v>
      </c>
      <c r="K566" s="132" t="s">
        <v>2463</v>
      </c>
      <c r="L566" s="132" t="s">
        <v>2464</v>
      </c>
      <c r="M566" s="132" t="s">
        <v>2465</v>
      </c>
      <c r="N566" s="132" t="s">
        <v>1105</v>
      </c>
      <c r="O566" s="132" t="s">
        <v>2466</v>
      </c>
      <c r="P566" s="132" t="s">
        <v>2467</v>
      </c>
      <c r="Q566" s="132" t="s">
        <v>1108</v>
      </c>
    </row>
    <row r="567" spans="1:17" x14ac:dyDescent="0.2">
      <c r="A567" t="s">
        <v>258</v>
      </c>
      <c r="B567" s="141">
        <f t="shared" ref="B567:B630" si="9">_xlfn.NUMBERVALUE(L567)*0.01</f>
        <v>2.15</v>
      </c>
      <c r="C567" s="280">
        <v>45632</v>
      </c>
      <c r="D567" s="279">
        <v>45634</v>
      </c>
      <c r="E567" s="279">
        <v>45635</v>
      </c>
      <c r="F567" s="132"/>
      <c r="G567" s="132" t="s">
        <v>1108</v>
      </c>
      <c r="H567" s="132" t="s">
        <v>373</v>
      </c>
      <c r="I567" s="132" t="s">
        <v>1100</v>
      </c>
      <c r="J567" s="132" t="s">
        <v>2225</v>
      </c>
      <c r="K567" s="132" t="s">
        <v>2226</v>
      </c>
      <c r="L567" s="132" t="s">
        <v>2227</v>
      </c>
      <c r="M567" s="132" t="s">
        <v>2468</v>
      </c>
      <c r="N567" s="132" t="s">
        <v>1117</v>
      </c>
      <c r="O567" s="132" t="s">
        <v>2469</v>
      </c>
      <c r="P567" s="132" t="s">
        <v>2467</v>
      </c>
      <c r="Q567" s="132" t="s">
        <v>1108</v>
      </c>
    </row>
    <row r="568" spans="1:17" x14ac:dyDescent="0.2">
      <c r="A568" t="s">
        <v>258</v>
      </c>
      <c r="B568" s="141">
        <f t="shared" si="9"/>
        <v>2.15</v>
      </c>
      <c r="C568" s="280">
        <v>45632</v>
      </c>
      <c r="D568" s="279">
        <v>45634</v>
      </c>
      <c r="E568" s="279">
        <v>45635</v>
      </c>
      <c r="F568" s="132"/>
      <c r="G568" s="132" t="s">
        <v>1108</v>
      </c>
      <c r="H568" s="132" t="s">
        <v>373</v>
      </c>
      <c r="I568" s="132" t="s">
        <v>1100</v>
      </c>
      <c r="J568" s="132" t="s">
        <v>2225</v>
      </c>
      <c r="K568" s="132" t="s">
        <v>2226</v>
      </c>
      <c r="L568" s="132" t="s">
        <v>2227</v>
      </c>
      <c r="M568" s="132" t="s">
        <v>2470</v>
      </c>
      <c r="N568" s="132" t="s">
        <v>1117</v>
      </c>
      <c r="O568" s="132" t="s">
        <v>2471</v>
      </c>
      <c r="P568" s="132" t="s">
        <v>2467</v>
      </c>
      <c r="Q568" s="132" t="s">
        <v>1108</v>
      </c>
    </row>
    <row r="569" spans="1:17" x14ac:dyDescent="0.2">
      <c r="A569" t="s">
        <v>193</v>
      </c>
      <c r="B569" s="141">
        <f t="shared" si="9"/>
        <v>2.15</v>
      </c>
      <c r="C569" s="280">
        <v>45632</v>
      </c>
      <c r="D569" s="279">
        <v>45634</v>
      </c>
      <c r="E569" s="279">
        <v>45635</v>
      </c>
      <c r="F569" s="132"/>
      <c r="G569" s="132" t="s">
        <v>1108</v>
      </c>
      <c r="H569" s="132" t="s">
        <v>373</v>
      </c>
      <c r="I569" s="132" t="s">
        <v>1100</v>
      </c>
      <c r="J569" s="132" t="s">
        <v>2225</v>
      </c>
      <c r="K569" s="132" t="s">
        <v>2226</v>
      </c>
      <c r="L569" s="132" t="s">
        <v>2227</v>
      </c>
      <c r="M569" s="132" t="s">
        <v>2472</v>
      </c>
      <c r="N569" s="132" t="s">
        <v>1117</v>
      </c>
      <c r="O569" s="132" t="s">
        <v>2473</v>
      </c>
      <c r="P569" s="132" t="s">
        <v>2467</v>
      </c>
      <c r="Q569" s="132" t="s">
        <v>1108</v>
      </c>
    </row>
    <row r="570" spans="1:17" x14ac:dyDescent="0.2">
      <c r="A570" t="s">
        <v>193</v>
      </c>
      <c r="B570" s="141">
        <f t="shared" si="9"/>
        <v>2.15</v>
      </c>
      <c r="C570" s="280">
        <v>45632</v>
      </c>
      <c r="D570" s="279">
        <v>45634</v>
      </c>
      <c r="E570" s="279">
        <v>45635</v>
      </c>
      <c r="F570" s="132"/>
      <c r="G570" s="132" t="s">
        <v>1108</v>
      </c>
      <c r="H570" s="132" t="s">
        <v>373</v>
      </c>
      <c r="I570" s="132" t="s">
        <v>1100</v>
      </c>
      <c r="J570" s="132" t="s">
        <v>2225</v>
      </c>
      <c r="K570" s="132" t="s">
        <v>2226</v>
      </c>
      <c r="L570" s="132" t="s">
        <v>2227</v>
      </c>
      <c r="M570" s="132" t="s">
        <v>2474</v>
      </c>
      <c r="N570" s="132" t="s">
        <v>1117</v>
      </c>
      <c r="O570" s="132" t="s">
        <v>2475</v>
      </c>
      <c r="P570" s="132" t="s">
        <v>2467</v>
      </c>
      <c r="Q570" s="132" t="s">
        <v>1108</v>
      </c>
    </row>
    <row r="571" spans="1:17" x14ac:dyDescent="0.2">
      <c r="A571" t="s">
        <v>193</v>
      </c>
      <c r="B571" s="141">
        <f t="shared" si="9"/>
        <v>2.15</v>
      </c>
      <c r="C571" s="280">
        <v>45632</v>
      </c>
      <c r="D571" s="279">
        <v>45634</v>
      </c>
      <c r="E571" s="279">
        <v>45635</v>
      </c>
      <c r="F571" s="132"/>
      <c r="G571" s="132" t="s">
        <v>1166</v>
      </c>
      <c r="H571" s="132" t="s">
        <v>373</v>
      </c>
      <c r="I571" s="132" t="s">
        <v>1100</v>
      </c>
      <c r="J571" s="132" t="s">
        <v>2225</v>
      </c>
      <c r="K571" s="132" t="s">
        <v>2226</v>
      </c>
      <c r="L571" s="132" t="s">
        <v>2227</v>
      </c>
      <c r="M571" s="132" t="s">
        <v>2476</v>
      </c>
      <c r="N571" s="132" t="s">
        <v>1105</v>
      </c>
      <c r="O571" s="132" t="s">
        <v>2477</v>
      </c>
      <c r="P571" s="132" t="s">
        <v>2467</v>
      </c>
      <c r="Q571" s="132" t="s">
        <v>1108</v>
      </c>
    </row>
    <row r="572" spans="1:17" x14ac:dyDescent="0.2">
      <c r="A572" t="s">
        <v>193</v>
      </c>
      <c r="B572" s="141">
        <f t="shared" si="9"/>
        <v>2.15</v>
      </c>
      <c r="C572" s="280">
        <v>45633</v>
      </c>
      <c r="D572" s="279">
        <v>45634</v>
      </c>
      <c r="E572" s="279">
        <v>45635</v>
      </c>
      <c r="F572" s="132"/>
      <c r="G572" s="132" t="s">
        <v>1108</v>
      </c>
      <c r="H572" s="132" t="s">
        <v>373</v>
      </c>
      <c r="I572" s="132" t="s">
        <v>1100</v>
      </c>
      <c r="J572" s="132" t="s">
        <v>2225</v>
      </c>
      <c r="K572" s="132" t="s">
        <v>2226</v>
      </c>
      <c r="L572" s="132" t="s">
        <v>2227</v>
      </c>
      <c r="M572" s="132" t="s">
        <v>2478</v>
      </c>
      <c r="N572" s="132" t="s">
        <v>1117</v>
      </c>
      <c r="O572" s="132" t="s">
        <v>2479</v>
      </c>
      <c r="P572" s="132" t="s">
        <v>2467</v>
      </c>
      <c r="Q572" s="132" t="s">
        <v>1108</v>
      </c>
    </row>
    <row r="573" spans="1:17" x14ac:dyDescent="0.2">
      <c r="A573" t="s">
        <v>258</v>
      </c>
      <c r="B573" s="141">
        <f t="shared" si="9"/>
        <v>2.15</v>
      </c>
      <c r="C573" s="280">
        <v>45633</v>
      </c>
      <c r="D573" s="279">
        <v>45634</v>
      </c>
      <c r="E573" s="279">
        <v>45635</v>
      </c>
      <c r="F573" s="132"/>
      <c r="G573" s="132" t="s">
        <v>1108</v>
      </c>
      <c r="H573" s="132" t="s">
        <v>373</v>
      </c>
      <c r="I573" s="132" t="s">
        <v>1100</v>
      </c>
      <c r="J573" s="132" t="s">
        <v>2225</v>
      </c>
      <c r="K573" s="132" t="s">
        <v>2226</v>
      </c>
      <c r="L573" s="132" t="s">
        <v>2227</v>
      </c>
      <c r="M573" s="132" t="s">
        <v>2480</v>
      </c>
      <c r="N573" s="132" t="s">
        <v>1117</v>
      </c>
      <c r="O573" s="132" t="s">
        <v>2481</v>
      </c>
      <c r="P573" s="132" t="s">
        <v>2467</v>
      </c>
      <c r="Q573" s="132" t="s">
        <v>1108</v>
      </c>
    </row>
    <row r="574" spans="1:17" x14ac:dyDescent="0.2">
      <c r="A574" t="s">
        <v>193</v>
      </c>
      <c r="B574" s="141">
        <f t="shared" si="9"/>
        <v>2.15</v>
      </c>
      <c r="C574" s="280">
        <v>45634</v>
      </c>
      <c r="D574" s="279">
        <v>45635</v>
      </c>
      <c r="E574" s="279">
        <v>45635</v>
      </c>
      <c r="F574" s="132"/>
      <c r="G574" s="132" t="s">
        <v>1863</v>
      </c>
      <c r="H574" s="132" t="s">
        <v>373</v>
      </c>
      <c r="I574" s="132" t="s">
        <v>1100</v>
      </c>
      <c r="J574" s="132" t="s">
        <v>2225</v>
      </c>
      <c r="K574" s="132" t="s">
        <v>2226</v>
      </c>
      <c r="L574" s="132" t="s">
        <v>2227</v>
      </c>
      <c r="M574" s="132" t="s">
        <v>2482</v>
      </c>
      <c r="N574" s="132" t="s">
        <v>1105</v>
      </c>
      <c r="O574" s="132" t="s">
        <v>2483</v>
      </c>
      <c r="P574" s="132" t="s">
        <v>2467</v>
      </c>
      <c r="Q574" s="132" t="s">
        <v>1108</v>
      </c>
    </row>
    <row r="575" spans="1:17" x14ac:dyDescent="0.2">
      <c r="A575" t="s">
        <v>193</v>
      </c>
      <c r="B575" s="141">
        <f t="shared" si="9"/>
        <v>2.15</v>
      </c>
      <c r="C575" s="280">
        <v>45634</v>
      </c>
      <c r="D575" s="279">
        <v>45635</v>
      </c>
      <c r="E575" s="279">
        <v>45635</v>
      </c>
      <c r="F575" s="132"/>
      <c r="G575" s="132" t="s">
        <v>1813</v>
      </c>
      <c r="H575" s="132" t="s">
        <v>373</v>
      </c>
      <c r="I575" s="132" t="s">
        <v>1100</v>
      </c>
      <c r="J575" s="132" t="s">
        <v>2225</v>
      </c>
      <c r="K575" s="132" t="s">
        <v>2226</v>
      </c>
      <c r="L575" s="132" t="s">
        <v>2227</v>
      </c>
      <c r="M575" s="132" t="s">
        <v>2484</v>
      </c>
      <c r="N575" s="132" t="s">
        <v>1105</v>
      </c>
      <c r="O575" s="132" t="s">
        <v>2485</v>
      </c>
      <c r="P575" s="132" t="s">
        <v>2467</v>
      </c>
      <c r="Q575" s="132" t="s">
        <v>1108</v>
      </c>
    </row>
    <row r="576" spans="1:17" x14ac:dyDescent="0.2">
      <c r="A576" t="s">
        <v>193</v>
      </c>
      <c r="B576" s="141">
        <f t="shared" si="9"/>
        <v>2.14</v>
      </c>
      <c r="C576" s="280">
        <v>45632</v>
      </c>
      <c r="D576" s="279">
        <v>45635</v>
      </c>
      <c r="E576" s="279">
        <v>45636</v>
      </c>
      <c r="F576" s="132"/>
      <c r="G576" s="132" t="s">
        <v>1108</v>
      </c>
      <c r="H576" s="132" t="s">
        <v>373</v>
      </c>
      <c r="I576" s="132" t="s">
        <v>1100</v>
      </c>
      <c r="J576" s="132" t="s">
        <v>2225</v>
      </c>
      <c r="K576" s="132" t="s">
        <v>2256</v>
      </c>
      <c r="L576" s="132" t="s">
        <v>2257</v>
      </c>
      <c r="M576" s="132" t="s">
        <v>2486</v>
      </c>
      <c r="N576" s="132" t="s">
        <v>1112</v>
      </c>
      <c r="O576" s="132" t="s">
        <v>2487</v>
      </c>
      <c r="P576" s="132" t="s">
        <v>2488</v>
      </c>
      <c r="Q576" s="132" t="s">
        <v>1108</v>
      </c>
    </row>
    <row r="577" spans="1:17" x14ac:dyDescent="0.2">
      <c r="A577" t="s">
        <v>258</v>
      </c>
      <c r="B577" s="141">
        <f t="shared" si="9"/>
        <v>2.14</v>
      </c>
      <c r="C577" s="280">
        <v>45632</v>
      </c>
      <c r="D577" s="279">
        <v>45635</v>
      </c>
      <c r="E577" s="279">
        <v>45636</v>
      </c>
      <c r="F577" s="132"/>
      <c r="G577" s="132" t="s">
        <v>1108</v>
      </c>
      <c r="H577" s="132" t="s">
        <v>373</v>
      </c>
      <c r="I577" s="132" t="s">
        <v>1100</v>
      </c>
      <c r="J577" s="132" t="s">
        <v>2225</v>
      </c>
      <c r="K577" s="132" t="s">
        <v>2256</v>
      </c>
      <c r="L577" s="132" t="s">
        <v>2257</v>
      </c>
      <c r="M577" s="132" t="s">
        <v>2489</v>
      </c>
      <c r="N577" s="132" t="s">
        <v>1112</v>
      </c>
      <c r="O577" s="132" t="s">
        <v>2490</v>
      </c>
      <c r="P577" s="132" t="s">
        <v>2488</v>
      </c>
      <c r="Q577" s="132" t="s">
        <v>1108</v>
      </c>
    </row>
    <row r="578" spans="1:17" x14ac:dyDescent="0.2">
      <c r="A578" t="s">
        <v>259</v>
      </c>
      <c r="B578" s="141">
        <f t="shared" si="9"/>
        <v>4.09</v>
      </c>
      <c r="C578" s="280">
        <v>45632</v>
      </c>
      <c r="D578" s="279">
        <v>45635</v>
      </c>
      <c r="E578" s="279">
        <v>45636</v>
      </c>
      <c r="F578" s="132"/>
      <c r="G578" s="132" t="s">
        <v>1108</v>
      </c>
      <c r="H578" s="132" t="s">
        <v>373</v>
      </c>
      <c r="I578" s="132" t="s">
        <v>1100</v>
      </c>
      <c r="J578" s="132" t="s">
        <v>1754</v>
      </c>
      <c r="K578" s="132" t="s">
        <v>1792</v>
      </c>
      <c r="L578" s="132" t="s">
        <v>1793</v>
      </c>
      <c r="M578" s="132" t="s">
        <v>2491</v>
      </c>
      <c r="N578" s="132" t="s">
        <v>1112</v>
      </c>
      <c r="O578" s="132" t="s">
        <v>2492</v>
      </c>
      <c r="P578" s="132" t="s">
        <v>2488</v>
      </c>
      <c r="Q578" s="132" t="s">
        <v>1108</v>
      </c>
    </row>
    <row r="579" spans="1:17" x14ac:dyDescent="0.2">
      <c r="A579" t="s">
        <v>193</v>
      </c>
      <c r="B579" s="141">
        <f t="shared" si="9"/>
        <v>2.14</v>
      </c>
      <c r="C579" s="280">
        <v>45632</v>
      </c>
      <c r="D579" s="279">
        <v>45635</v>
      </c>
      <c r="E579" s="279">
        <v>45636</v>
      </c>
      <c r="F579" s="132"/>
      <c r="G579" s="132" t="s">
        <v>1108</v>
      </c>
      <c r="H579" s="132" t="s">
        <v>373</v>
      </c>
      <c r="I579" s="132" t="s">
        <v>1100</v>
      </c>
      <c r="J579" s="132" t="s">
        <v>2225</v>
      </c>
      <c r="K579" s="132" t="s">
        <v>2256</v>
      </c>
      <c r="L579" s="132" t="s">
        <v>2257</v>
      </c>
      <c r="M579" s="132" t="s">
        <v>2493</v>
      </c>
      <c r="N579" s="132" t="s">
        <v>1112</v>
      </c>
      <c r="O579" s="132" t="s">
        <v>2494</v>
      </c>
      <c r="P579" s="132" t="s">
        <v>2488</v>
      </c>
      <c r="Q579" s="132" t="s">
        <v>1108</v>
      </c>
    </row>
    <row r="580" spans="1:17" x14ac:dyDescent="0.2">
      <c r="A580" t="s">
        <v>193</v>
      </c>
      <c r="B580" s="141">
        <f t="shared" si="9"/>
        <v>2.14</v>
      </c>
      <c r="C580" s="280">
        <v>45633</v>
      </c>
      <c r="D580" s="279">
        <v>45635</v>
      </c>
      <c r="E580" s="279">
        <v>45636</v>
      </c>
      <c r="F580" s="132"/>
      <c r="G580" s="132" t="s">
        <v>1108</v>
      </c>
      <c r="H580" s="132" t="s">
        <v>373</v>
      </c>
      <c r="I580" s="132" t="s">
        <v>1100</v>
      </c>
      <c r="J580" s="132" t="s">
        <v>2225</v>
      </c>
      <c r="K580" s="132" t="s">
        <v>2256</v>
      </c>
      <c r="L580" s="132" t="s">
        <v>2257</v>
      </c>
      <c r="M580" s="132" t="s">
        <v>2495</v>
      </c>
      <c r="N580" s="132" t="s">
        <v>1112</v>
      </c>
      <c r="O580" s="132" t="s">
        <v>2496</v>
      </c>
      <c r="P580" s="132" t="s">
        <v>2488</v>
      </c>
      <c r="Q580" s="132" t="s">
        <v>1108</v>
      </c>
    </row>
    <row r="581" spans="1:17" x14ac:dyDescent="0.2">
      <c r="A581" t="s">
        <v>193</v>
      </c>
      <c r="B581" s="141">
        <f t="shared" si="9"/>
        <v>2.15</v>
      </c>
      <c r="C581" s="280">
        <v>45634</v>
      </c>
      <c r="D581" s="279">
        <v>45635</v>
      </c>
      <c r="E581" s="279">
        <v>45636</v>
      </c>
      <c r="F581" s="132"/>
      <c r="G581" s="132" t="s">
        <v>1108</v>
      </c>
      <c r="H581" s="132" t="s">
        <v>373</v>
      </c>
      <c r="I581" s="132" t="s">
        <v>1100</v>
      </c>
      <c r="J581" s="132" t="s">
        <v>2225</v>
      </c>
      <c r="K581" s="132" t="s">
        <v>2226</v>
      </c>
      <c r="L581" s="132" t="s">
        <v>2227</v>
      </c>
      <c r="M581" s="132" t="s">
        <v>2497</v>
      </c>
      <c r="N581" s="132" t="s">
        <v>1117</v>
      </c>
      <c r="O581" s="132" t="s">
        <v>2498</v>
      </c>
      <c r="P581" s="132" t="s">
        <v>2488</v>
      </c>
      <c r="Q581" s="132" t="s">
        <v>1108</v>
      </c>
    </row>
    <row r="582" spans="1:17" x14ac:dyDescent="0.2">
      <c r="A582" t="s">
        <v>193</v>
      </c>
      <c r="B582" s="141">
        <f t="shared" si="9"/>
        <v>2.14</v>
      </c>
      <c r="C582" s="280">
        <v>45635</v>
      </c>
      <c r="D582" s="279">
        <v>45636</v>
      </c>
      <c r="E582" s="279">
        <v>45637</v>
      </c>
      <c r="F582" s="132"/>
      <c r="G582" s="132" t="s">
        <v>1108</v>
      </c>
      <c r="H582" s="132" t="s">
        <v>373</v>
      </c>
      <c r="I582" s="132" t="s">
        <v>1100</v>
      </c>
      <c r="J582" s="132" t="s">
        <v>2225</v>
      </c>
      <c r="K582" s="132" t="s">
        <v>2256</v>
      </c>
      <c r="L582" s="132" t="s">
        <v>2257</v>
      </c>
      <c r="M582" s="132" t="s">
        <v>2499</v>
      </c>
      <c r="N582" s="132" t="s">
        <v>1112</v>
      </c>
      <c r="O582" s="132" t="s">
        <v>2500</v>
      </c>
      <c r="P582" s="132" t="s">
        <v>2501</v>
      </c>
      <c r="Q582" s="132" t="s">
        <v>1108</v>
      </c>
    </row>
    <row r="583" spans="1:17" x14ac:dyDescent="0.2">
      <c r="A583" t="s">
        <v>194</v>
      </c>
      <c r="B583" s="141">
        <f t="shared" si="9"/>
        <v>4.09</v>
      </c>
      <c r="C583" s="280">
        <v>45635</v>
      </c>
      <c r="D583" s="279">
        <v>45636</v>
      </c>
      <c r="E583" s="279">
        <v>45637</v>
      </c>
      <c r="F583" s="132"/>
      <c r="G583" s="132" t="s">
        <v>1108</v>
      </c>
      <c r="H583" s="132" t="s">
        <v>373</v>
      </c>
      <c r="I583" s="132" t="s">
        <v>1100</v>
      </c>
      <c r="J583" s="132" t="s">
        <v>1754</v>
      </c>
      <c r="K583" s="132" t="s">
        <v>1792</v>
      </c>
      <c r="L583" s="132" t="s">
        <v>1793</v>
      </c>
      <c r="M583" s="132" t="s">
        <v>2502</v>
      </c>
      <c r="N583" s="132" t="s">
        <v>1112</v>
      </c>
      <c r="O583" s="132" t="s">
        <v>2503</v>
      </c>
      <c r="P583" s="132" t="s">
        <v>2501</v>
      </c>
      <c r="Q583" s="132" t="s">
        <v>1108</v>
      </c>
    </row>
    <row r="584" spans="1:17" x14ac:dyDescent="0.2">
      <c r="A584" t="s">
        <v>194</v>
      </c>
      <c r="B584" s="141">
        <f t="shared" si="9"/>
        <v>4.1100000000000003</v>
      </c>
      <c r="C584" s="280">
        <v>45635</v>
      </c>
      <c r="D584" s="279">
        <v>45636</v>
      </c>
      <c r="E584" s="279">
        <v>45637</v>
      </c>
      <c r="F584" s="132"/>
      <c r="G584" s="132" t="s">
        <v>2504</v>
      </c>
      <c r="H584" s="132" t="s">
        <v>373</v>
      </c>
      <c r="I584" s="132" t="s">
        <v>1100</v>
      </c>
      <c r="J584" s="132" t="s">
        <v>1754</v>
      </c>
      <c r="K584" s="132" t="s">
        <v>1755</v>
      </c>
      <c r="L584" s="132" t="s">
        <v>1756</v>
      </c>
      <c r="M584" s="132" t="s">
        <v>2505</v>
      </c>
      <c r="N584" s="132" t="s">
        <v>1105</v>
      </c>
      <c r="O584" s="132" t="s">
        <v>2506</v>
      </c>
      <c r="P584" s="132" t="s">
        <v>2501</v>
      </c>
      <c r="Q584" s="132" t="s">
        <v>1108</v>
      </c>
    </row>
    <row r="585" spans="1:17" x14ac:dyDescent="0.2">
      <c r="A585" t="s">
        <v>220</v>
      </c>
      <c r="B585" s="141">
        <f t="shared" si="9"/>
        <v>3.13</v>
      </c>
      <c r="C585" s="280">
        <v>45660</v>
      </c>
      <c r="D585" s="279">
        <v>45662</v>
      </c>
      <c r="E585" s="279">
        <v>45663</v>
      </c>
      <c r="F585" s="132"/>
      <c r="G585" s="132" t="s">
        <v>1229</v>
      </c>
      <c r="H585" s="132" t="s">
        <v>373</v>
      </c>
      <c r="I585" s="132" t="s">
        <v>1100</v>
      </c>
      <c r="J585" s="132" t="s">
        <v>1730</v>
      </c>
      <c r="K585" s="132" t="s">
        <v>1742</v>
      </c>
      <c r="L585" s="132" t="s">
        <v>1743</v>
      </c>
      <c r="M585" s="132" t="s">
        <v>2507</v>
      </c>
      <c r="N585" s="132" t="s">
        <v>1105</v>
      </c>
      <c r="O585" s="132" t="s">
        <v>2508</v>
      </c>
      <c r="P585" s="132" t="s">
        <v>2509</v>
      </c>
      <c r="Q585" s="132" t="s">
        <v>1108</v>
      </c>
    </row>
    <row r="586" spans="1:17" x14ac:dyDescent="0.2">
      <c r="A586" t="s">
        <v>220</v>
      </c>
      <c r="B586" s="141">
        <f t="shared" si="9"/>
        <v>3.13</v>
      </c>
      <c r="C586" s="280">
        <v>45660</v>
      </c>
      <c r="D586" s="279">
        <v>45662</v>
      </c>
      <c r="E586" s="279">
        <v>45663</v>
      </c>
      <c r="F586" s="132"/>
      <c r="G586" s="132" t="s">
        <v>1108</v>
      </c>
      <c r="H586" s="132" t="s">
        <v>373</v>
      </c>
      <c r="I586" s="132" t="s">
        <v>1100</v>
      </c>
      <c r="J586" s="132" t="s">
        <v>1730</v>
      </c>
      <c r="K586" s="132" t="s">
        <v>1742</v>
      </c>
      <c r="L586" s="132" t="s">
        <v>1743</v>
      </c>
      <c r="M586" s="132" t="s">
        <v>2510</v>
      </c>
      <c r="N586" s="132" t="s">
        <v>1117</v>
      </c>
      <c r="O586" s="132" t="s">
        <v>2511</v>
      </c>
      <c r="P586" s="132" t="s">
        <v>2509</v>
      </c>
      <c r="Q586" s="132" t="s">
        <v>1108</v>
      </c>
    </row>
    <row r="587" spans="1:17" x14ac:dyDescent="0.2">
      <c r="A587" t="s">
        <v>220</v>
      </c>
      <c r="B587" s="141">
        <f t="shared" si="9"/>
        <v>3.13</v>
      </c>
      <c r="C587" s="280">
        <v>45661</v>
      </c>
      <c r="D587" s="279">
        <v>45662</v>
      </c>
      <c r="E587" s="279">
        <v>45663</v>
      </c>
      <c r="F587" s="132"/>
      <c r="G587" s="132" t="s">
        <v>1108</v>
      </c>
      <c r="H587" s="132" t="s">
        <v>373</v>
      </c>
      <c r="I587" s="132" t="s">
        <v>1100</v>
      </c>
      <c r="J587" s="132" t="s">
        <v>1730</v>
      </c>
      <c r="K587" s="132" t="s">
        <v>1742</v>
      </c>
      <c r="L587" s="132" t="s">
        <v>1743</v>
      </c>
      <c r="M587" s="132" t="s">
        <v>2512</v>
      </c>
      <c r="N587" s="132" t="s">
        <v>1117</v>
      </c>
      <c r="O587" s="132" t="s">
        <v>2513</v>
      </c>
      <c r="P587" s="132" t="s">
        <v>2509</v>
      </c>
      <c r="Q587" s="132" t="s">
        <v>1108</v>
      </c>
    </row>
    <row r="588" spans="1:17" x14ac:dyDescent="0.2">
      <c r="A588" t="s">
        <v>220</v>
      </c>
      <c r="B588" s="141">
        <f t="shared" si="9"/>
        <v>3.13</v>
      </c>
      <c r="C588" s="280">
        <v>45661</v>
      </c>
      <c r="D588" s="279">
        <v>45662</v>
      </c>
      <c r="E588" s="279">
        <v>45663</v>
      </c>
      <c r="F588" s="132"/>
      <c r="G588" s="132" t="s">
        <v>1108</v>
      </c>
      <c r="H588" s="132" t="s">
        <v>373</v>
      </c>
      <c r="I588" s="132" t="s">
        <v>1100</v>
      </c>
      <c r="J588" s="132" t="s">
        <v>1730</v>
      </c>
      <c r="K588" s="132" t="s">
        <v>1742</v>
      </c>
      <c r="L588" s="132" t="s">
        <v>1743</v>
      </c>
      <c r="M588" s="132" t="s">
        <v>2514</v>
      </c>
      <c r="N588" s="132" t="s">
        <v>1117</v>
      </c>
      <c r="O588" s="132" t="s">
        <v>2515</v>
      </c>
      <c r="P588" s="132" t="s">
        <v>2509</v>
      </c>
      <c r="Q588" s="132" t="s">
        <v>1108</v>
      </c>
    </row>
    <row r="589" spans="1:17" x14ac:dyDescent="0.2">
      <c r="A589" t="s">
        <v>220</v>
      </c>
      <c r="B589" s="141">
        <f t="shared" si="9"/>
        <v>3.11</v>
      </c>
      <c r="C589" s="280">
        <v>45660</v>
      </c>
      <c r="D589" s="279">
        <v>45663</v>
      </c>
      <c r="E589" s="279">
        <v>45664</v>
      </c>
      <c r="F589" s="132"/>
      <c r="G589" s="132" t="s">
        <v>1108</v>
      </c>
      <c r="H589" s="132" t="s">
        <v>373</v>
      </c>
      <c r="I589" s="132" t="s">
        <v>1100</v>
      </c>
      <c r="J589" s="132" t="s">
        <v>1730</v>
      </c>
      <c r="K589" s="132" t="s">
        <v>1731</v>
      </c>
      <c r="L589" s="132" t="s">
        <v>1732</v>
      </c>
      <c r="M589" s="132" t="s">
        <v>2516</v>
      </c>
      <c r="N589" s="132" t="s">
        <v>1112</v>
      </c>
      <c r="O589" s="132" t="s">
        <v>2517</v>
      </c>
      <c r="P589" s="132" t="s">
        <v>2518</v>
      </c>
      <c r="Q589" s="132" t="s">
        <v>1108</v>
      </c>
    </row>
    <row r="590" spans="1:17" x14ac:dyDescent="0.2">
      <c r="A590" t="s">
        <v>220</v>
      </c>
      <c r="B590" s="141">
        <f t="shared" si="9"/>
        <v>3.11</v>
      </c>
      <c r="C590" s="280">
        <v>45660</v>
      </c>
      <c r="D590" s="279">
        <v>45663</v>
      </c>
      <c r="E590" s="279">
        <v>45664</v>
      </c>
      <c r="F590" s="132"/>
      <c r="G590" s="132" t="s">
        <v>1108</v>
      </c>
      <c r="H590" s="132" t="s">
        <v>373</v>
      </c>
      <c r="I590" s="132" t="s">
        <v>1100</v>
      </c>
      <c r="J590" s="132" t="s">
        <v>1730</v>
      </c>
      <c r="K590" s="132" t="s">
        <v>1731</v>
      </c>
      <c r="L590" s="132" t="s">
        <v>1732</v>
      </c>
      <c r="M590" s="132" t="s">
        <v>2519</v>
      </c>
      <c r="N590" s="132" t="s">
        <v>1112</v>
      </c>
      <c r="O590" s="132" t="s">
        <v>2520</v>
      </c>
      <c r="P590" s="132" t="s">
        <v>2518</v>
      </c>
      <c r="Q590" s="132" t="s">
        <v>1108</v>
      </c>
    </row>
    <row r="591" spans="1:17" x14ac:dyDescent="0.2">
      <c r="A591" t="s">
        <v>220</v>
      </c>
      <c r="B591" s="141">
        <f t="shared" si="9"/>
        <v>3.11</v>
      </c>
      <c r="C591" s="280">
        <v>45660</v>
      </c>
      <c r="D591" s="279">
        <v>45663</v>
      </c>
      <c r="E591" s="279">
        <v>45664</v>
      </c>
      <c r="F591" s="132"/>
      <c r="G591" s="132" t="s">
        <v>1108</v>
      </c>
      <c r="H591" s="132" t="s">
        <v>373</v>
      </c>
      <c r="I591" s="132" t="s">
        <v>1100</v>
      </c>
      <c r="J591" s="132" t="s">
        <v>1730</v>
      </c>
      <c r="K591" s="132" t="s">
        <v>1731</v>
      </c>
      <c r="L591" s="132" t="s">
        <v>1732</v>
      </c>
      <c r="M591" s="132" t="s">
        <v>2521</v>
      </c>
      <c r="N591" s="132" t="s">
        <v>1112</v>
      </c>
      <c r="O591" s="132" t="s">
        <v>2522</v>
      </c>
      <c r="P591" s="132" t="s">
        <v>2518</v>
      </c>
      <c r="Q591" s="132" t="s">
        <v>1108</v>
      </c>
    </row>
    <row r="592" spans="1:17" x14ac:dyDescent="0.2">
      <c r="A592" t="s">
        <v>220</v>
      </c>
      <c r="B592" s="141">
        <f t="shared" si="9"/>
        <v>3.11</v>
      </c>
      <c r="C592" s="280">
        <v>45660</v>
      </c>
      <c r="D592" s="279">
        <v>45663</v>
      </c>
      <c r="E592" s="279">
        <v>45664</v>
      </c>
      <c r="F592" s="132"/>
      <c r="G592" s="132" t="s">
        <v>1108</v>
      </c>
      <c r="H592" s="132" t="s">
        <v>373</v>
      </c>
      <c r="I592" s="132" t="s">
        <v>1100</v>
      </c>
      <c r="J592" s="132" t="s">
        <v>1730</v>
      </c>
      <c r="K592" s="132" t="s">
        <v>1731</v>
      </c>
      <c r="L592" s="132" t="s">
        <v>1732</v>
      </c>
      <c r="M592" s="132" t="s">
        <v>2523</v>
      </c>
      <c r="N592" s="132" t="s">
        <v>1112</v>
      </c>
      <c r="O592" s="132" t="s">
        <v>2524</v>
      </c>
      <c r="P592" s="132" t="s">
        <v>2518</v>
      </c>
      <c r="Q592" s="132" t="s">
        <v>1108</v>
      </c>
    </row>
    <row r="593" spans="1:17" x14ac:dyDescent="0.2">
      <c r="A593" t="s">
        <v>220</v>
      </c>
      <c r="B593" s="141">
        <f t="shared" si="9"/>
        <v>3.11</v>
      </c>
      <c r="C593" s="280">
        <v>45660</v>
      </c>
      <c r="D593" s="279">
        <v>45663</v>
      </c>
      <c r="E593" s="279">
        <v>45664</v>
      </c>
      <c r="F593" s="132"/>
      <c r="G593" s="132" t="s">
        <v>1108</v>
      </c>
      <c r="H593" s="132" t="s">
        <v>373</v>
      </c>
      <c r="I593" s="132" t="s">
        <v>1100</v>
      </c>
      <c r="J593" s="132" t="s">
        <v>1730</v>
      </c>
      <c r="K593" s="132" t="s">
        <v>1731</v>
      </c>
      <c r="L593" s="132" t="s">
        <v>1732</v>
      </c>
      <c r="M593" s="132" t="s">
        <v>2525</v>
      </c>
      <c r="N593" s="132" t="s">
        <v>1112</v>
      </c>
      <c r="O593" s="132" t="s">
        <v>2526</v>
      </c>
      <c r="P593" s="132" t="s">
        <v>2518</v>
      </c>
      <c r="Q593" s="132" t="s">
        <v>1108</v>
      </c>
    </row>
    <row r="594" spans="1:17" x14ac:dyDescent="0.2">
      <c r="A594" t="s">
        <v>220</v>
      </c>
      <c r="B594" s="141">
        <f t="shared" si="9"/>
        <v>3.11</v>
      </c>
      <c r="C594" s="280">
        <v>45661</v>
      </c>
      <c r="D594" s="279">
        <v>45663</v>
      </c>
      <c r="E594" s="279">
        <v>45664</v>
      </c>
      <c r="F594" s="132"/>
      <c r="G594" s="132" t="s">
        <v>1108</v>
      </c>
      <c r="H594" s="132" t="s">
        <v>373</v>
      </c>
      <c r="I594" s="132" t="s">
        <v>1100</v>
      </c>
      <c r="J594" s="132" t="s">
        <v>1730</v>
      </c>
      <c r="K594" s="132" t="s">
        <v>1731</v>
      </c>
      <c r="L594" s="132" t="s">
        <v>1732</v>
      </c>
      <c r="M594" s="132" t="s">
        <v>2527</v>
      </c>
      <c r="N594" s="132" t="s">
        <v>1112</v>
      </c>
      <c r="O594" s="132" t="s">
        <v>2528</v>
      </c>
      <c r="P594" s="132" t="s">
        <v>2518</v>
      </c>
      <c r="Q594" s="132" t="s">
        <v>1108</v>
      </c>
    </row>
    <row r="595" spans="1:17" x14ac:dyDescent="0.2">
      <c r="A595" t="s">
        <v>220</v>
      </c>
      <c r="B595" s="141">
        <f t="shared" si="9"/>
        <v>3.11</v>
      </c>
      <c r="C595" s="280">
        <v>45661</v>
      </c>
      <c r="D595" s="279">
        <v>45663</v>
      </c>
      <c r="E595" s="279">
        <v>45664</v>
      </c>
      <c r="F595" s="132"/>
      <c r="G595" s="132" t="s">
        <v>1108</v>
      </c>
      <c r="H595" s="132" t="s">
        <v>373</v>
      </c>
      <c r="I595" s="132" t="s">
        <v>1100</v>
      </c>
      <c r="J595" s="132" t="s">
        <v>1730</v>
      </c>
      <c r="K595" s="132" t="s">
        <v>1731</v>
      </c>
      <c r="L595" s="132" t="s">
        <v>1732</v>
      </c>
      <c r="M595" s="132" t="s">
        <v>2529</v>
      </c>
      <c r="N595" s="132" t="s">
        <v>1112</v>
      </c>
      <c r="O595" s="132" t="s">
        <v>2530</v>
      </c>
      <c r="P595" s="132" t="s">
        <v>2518</v>
      </c>
      <c r="Q595" s="132" t="s">
        <v>1108</v>
      </c>
    </row>
    <row r="596" spans="1:17" x14ac:dyDescent="0.2">
      <c r="A596" t="s">
        <v>220</v>
      </c>
      <c r="B596" s="141">
        <f t="shared" si="9"/>
        <v>3.11</v>
      </c>
      <c r="C596" s="280">
        <v>45662</v>
      </c>
      <c r="D596" s="279">
        <v>45663</v>
      </c>
      <c r="E596" s="279">
        <v>45664</v>
      </c>
      <c r="F596" s="132"/>
      <c r="G596" s="132" t="s">
        <v>1108</v>
      </c>
      <c r="H596" s="132" t="s">
        <v>373</v>
      </c>
      <c r="I596" s="132" t="s">
        <v>1100</v>
      </c>
      <c r="J596" s="132" t="s">
        <v>1730</v>
      </c>
      <c r="K596" s="132" t="s">
        <v>1731</v>
      </c>
      <c r="L596" s="132" t="s">
        <v>1732</v>
      </c>
      <c r="M596" s="132" t="s">
        <v>2531</v>
      </c>
      <c r="N596" s="132" t="s">
        <v>1112</v>
      </c>
      <c r="O596" s="132" t="s">
        <v>2532</v>
      </c>
      <c r="P596" s="132" t="s">
        <v>2518</v>
      </c>
      <c r="Q596" s="132" t="s">
        <v>1108</v>
      </c>
    </row>
    <row r="597" spans="1:17" x14ac:dyDescent="0.2">
      <c r="A597" t="s">
        <v>220</v>
      </c>
      <c r="B597" s="141">
        <f t="shared" si="9"/>
        <v>3.13</v>
      </c>
      <c r="C597" s="280">
        <v>45662</v>
      </c>
      <c r="D597" s="279">
        <v>45663</v>
      </c>
      <c r="E597" s="279">
        <v>45664</v>
      </c>
      <c r="F597" s="132"/>
      <c r="G597" s="132" t="s">
        <v>1378</v>
      </c>
      <c r="H597" s="132" t="s">
        <v>373</v>
      </c>
      <c r="I597" s="132" t="s">
        <v>1100</v>
      </c>
      <c r="J597" s="132" t="s">
        <v>1730</v>
      </c>
      <c r="K597" s="132" t="s">
        <v>1742</v>
      </c>
      <c r="L597" s="132" t="s">
        <v>1743</v>
      </c>
      <c r="M597" s="132" t="s">
        <v>2533</v>
      </c>
      <c r="N597" s="132" t="s">
        <v>1105</v>
      </c>
      <c r="O597" s="132" t="s">
        <v>2534</v>
      </c>
      <c r="P597" s="132" t="s">
        <v>2518</v>
      </c>
      <c r="Q597" s="132" t="s">
        <v>1108</v>
      </c>
    </row>
    <row r="598" spans="1:17" x14ac:dyDescent="0.2">
      <c r="A598" t="s">
        <v>220</v>
      </c>
      <c r="B598" s="141">
        <f t="shared" si="9"/>
        <v>3.13</v>
      </c>
      <c r="C598" s="280">
        <v>45663</v>
      </c>
      <c r="D598" s="279">
        <v>45664</v>
      </c>
      <c r="E598" s="279">
        <v>45664</v>
      </c>
      <c r="F598" s="132"/>
      <c r="G598" s="132" t="s">
        <v>1108</v>
      </c>
      <c r="H598" s="132" t="s">
        <v>373</v>
      </c>
      <c r="I598" s="132" t="s">
        <v>1100</v>
      </c>
      <c r="J598" s="132" t="s">
        <v>1730</v>
      </c>
      <c r="K598" s="132" t="s">
        <v>1742</v>
      </c>
      <c r="L598" s="132" t="s">
        <v>1743</v>
      </c>
      <c r="M598" s="132" t="s">
        <v>2535</v>
      </c>
      <c r="N598" s="132" t="s">
        <v>1117</v>
      </c>
      <c r="O598" s="132" t="s">
        <v>2536</v>
      </c>
      <c r="P598" s="132" t="s">
        <v>2518</v>
      </c>
      <c r="Q598" s="132" t="s">
        <v>1108</v>
      </c>
    </row>
    <row r="599" spans="1:17" x14ac:dyDescent="0.2">
      <c r="A599" t="s">
        <v>220</v>
      </c>
      <c r="B599" s="141">
        <f t="shared" si="9"/>
        <v>3.13</v>
      </c>
      <c r="C599" s="280">
        <v>45663</v>
      </c>
      <c r="D599" s="279">
        <v>45664</v>
      </c>
      <c r="E599" s="279">
        <v>45664</v>
      </c>
      <c r="F599" s="132"/>
      <c r="G599" s="132" t="s">
        <v>1108</v>
      </c>
      <c r="H599" s="132" t="s">
        <v>373</v>
      </c>
      <c r="I599" s="132" t="s">
        <v>1100</v>
      </c>
      <c r="J599" s="132" t="s">
        <v>1730</v>
      </c>
      <c r="K599" s="132" t="s">
        <v>1742</v>
      </c>
      <c r="L599" s="132" t="s">
        <v>1743</v>
      </c>
      <c r="M599" s="132" t="s">
        <v>2537</v>
      </c>
      <c r="N599" s="132" t="s">
        <v>1117</v>
      </c>
      <c r="O599" s="132" t="s">
        <v>2538</v>
      </c>
      <c r="P599" s="132" t="s">
        <v>2518</v>
      </c>
      <c r="Q599" s="132" t="s">
        <v>1108</v>
      </c>
    </row>
    <row r="600" spans="1:17" x14ac:dyDescent="0.2">
      <c r="A600" t="s">
        <v>220</v>
      </c>
      <c r="B600" s="141">
        <f t="shared" si="9"/>
        <v>3.11</v>
      </c>
      <c r="C600" s="280">
        <v>45663</v>
      </c>
      <c r="D600" s="279">
        <v>45663</v>
      </c>
      <c r="E600" s="279">
        <v>45664</v>
      </c>
      <c r="F600" s="132"/>
      <c r="G600" s="132" t="s">
        <v>1108</v>
      </c>
      <c r="H600" s="132" t="s">
        <v>373</v>
      </c>
      <c r="I600" s="132" t="s">
        <v>1100</v>
      </c>
      <c r="J600" s="132" t="s">
        <v>1730</v>
      </c>
      <c r="K600" s="132" t="s">
        <v>1731</v>
      </c>
      <c r="L600" s="132" t="s">
        <v>1732</v>
      </c>
      <c r="M600" s="132" t="s">
        <v>2539</v>
      </c>
      <c r="N600" s="132" t="s">
        <v>1112</v>
      </c>
      <c r="O600" s="132" t="s">
        <v>2540</v>
      </c>
      <c r="P600" s="132" t="s">
        <v>2518</v>
      </c>
      <c r="Q600" s="132" t="s">
        <v>1108</v>
      </c>
    </row>
    <row r="601" spans="1:17" x14ac:dyDescent="0.2">
      <c r="A601" t="s">
        <v>220</v>
      </c>
      <c r="B601" s="141">
        <f t="shared" si="9"/>
        <v>3.13</v>
      </c>
      <c r="C601" s="280">
        <v>45663</v>
      </c>
      <c r="D601" s="279">
        <v>45664</v>
      </c>
      <c r="E601" s="279">
        <v>45665</v>
      </c>
      <c r="F601" s="132"/>
      <c r="G601" s="132" t="s">
        <v>1531</v>
      </c>
      <c r="H601" s="132" t="s">
        <v>373</v>
      </c>
      <c r="I601" s="132" t="s">
        <v>1100</v>
      </c>
      <c r="J601" s="132" t="s">
        <v>1730</v>
      </c>
      <c r="K601" s="132" t="s">
        <v>1742</v>
      </c>
      <c r="L601" s="132" t="s">
        <v>1743</v>
      </c>
      <c r="M601" s="132" t="s">
        <v>2541</v>
      </c>
      <c r="N601" s="132" t="s">
        <v>1105</v>
      </c>
      <c r="O601" s="132" t="s">
        <v>2542</v>
      </c>
      <c r="P601" s="132" t="s">
        <v>2543</v>
      </c>
      <c r="Q601" s="132" t="s">
        <v>1108</v>
      </c>
    </row>
    <row r="602" spans="1:17" x14ac:dyDescent="0.2">
      <c r="A602" t="s">
        <v>220</v>
      </c>
      <c r="B602" s="141">
        <f t="shared" si="9"/>
        <v>3.11</v>
      </c>
      <c r="C602" s="280">
        <v>45663</v>
      </c>
      <c r="D602" s="279">
        <v>45664</v>
      </c>
      <c r="E602" s="279">
        <v>45665</v>
      </c>
      <c r="F602" s="132"/>
      <c r="G602" s="132" t="s">
        <v>1108</v>
      </c>
      <c r="H602" s="132" t="s">
        <v>373</v>
      </c>
      <c r="I602" s="132" t="s">
        <v>1100</v>
      </c>
      <c r="J602" s="132" t="s">
        <v>1730</v>
      </c>
      <c r="K602" s="132" t="s">
        <v>1731</v>
      </c>
      <c r="L602" s="132" t="s">
        <v>1732</v>
      </c>
      <c r="M602" s="132" t="s">
        <v>2544</v>
      </c>
      <c r="N602" s="132" t="s">
        <v>1112</v>
      </c>
      <c r="O602" s="132" t="s">
        <v>2545</v>
      </c>
      <c r="P602" s="132" t="s">
        <v>2543</v>
      </c>
      <c r="Q602" s="132" t="s">
        <v>1108</v>
      </c>
    </row>
    <row r="603" spans="1:17" x14ac:dyDescent="0.2">
      <c r="A603" t="s">
        <v>220</v>
      </c>
      <c r="B603" s="141">
        <f t="shared" si="9"/>
        <v>3.11</v>
      </c>
      <c r="C603" s="280">
        <v>45663</v>
      </c>
      <c r="D603" s="279">
        <v>45664</v>
      </c>
      <c r="E603" s="279">
        <v>45665</v>
      </c>
      <c r="F603" s="132"/>
      <c r="G603" s="132" t="s">
        <v>1108</v>
      </c>
      <c r="H603" s="132" t="s">
        <v>373</v>
      </c>
      <c r="I603" s="132" t="s">
        <v>1100</v>
      </c>
      <c r="J603" s="132" t="s">
        <v>1730</v>
      </c>
      <c r="K603" s="132" t="s">
        <v>1731</v>
      </c>
      <c r="L603" s="132" t="s">
        <v>1732</v>
      </c>
      <c r="M603" s="132" t="s">
        <v>2546</v>
      </c>
      <c r="N603" s="132" t="s">
        <v>1112</v>
      </c>
      <c r="O603" s="132" t="s">
        <v>2547</v>
      </c>
      <c r="P603" s="132" t="s">
        <v>2543</v>
      </c>
      <c r="Q603" s="132" t="s">
        <v>1108</v>
      </c>
    </row>
    <row r="604" spans="1:17" x14ac:dyDescent="0.2">
      <c r="A604" t="s">
        <v>220</v>
      </c>
      <c r="B604" s="141">
        <f t="shared" si="9"/>
        <v>3.13</v>
      </c>
      <c r="C604" s="280">
        <v>45663</v>
      </c>
      <c r="D604" s="279">
        <v>45664</v>
      </c>
      <c r="E604" s="279">
        <v>45665</v>
      </c>
      <c r="F604" s="132"/>
      <c r="G604" s="132" t="s">
        <v>1108</v>
      </c>
      <c r="H604" s="132" t="s">
        <v>373</v>
      </c>
      <c r="I604" s="132" t="s">
        <v>1100</v>
      </c>
      <c r="J604" s="132" t="s">
        <v>1730</v>
      </c>
      <c r="K604" s="132" t="s">
        <v>1742</v>
      </c>
      <c r="L604" s="132" t="s">
        <v>1743</v>
      </c>
      <c r="M604" s="132" t="s">
        <v>2548</v>
      </c>
      <c r="N604" s="132" t="s">
        <v>1117</v>
      </c>
      <c r="O604" s="132" t="s">
        <v>2549</v>
      </c>
      <c r="P604" s="132" t="s">
        <v>2543</v>
      </c>
      <c r="Q604" s="132" t="s">
        <v>1108</v>
      </c>
    </row>
    <row r="605" spans="1:17" x14ac:dyDescent="0.2">
      <c r="A605" t="s">
        <v>220</v>
      </c>
      <c r="B605" s="141">
        <f t="shared" si="9"/>
        <v>3.13</v>
      </c>
      <c r="C605" s="280">
        <v>45663</v>
      </c>
      <c r="D605" s="279">
        <v>45664</v>
      </c>
      <c r="E605" s="279">
        <v>45665</v>
      </c>
      <c r="F605" s="132"/>
      <c r="G605" s="132" t="s">
        <v>1108</v>
      </c>
      <c r="H605" s="132" t="s">
        <v>373</v>
      </c>
      <c r="I605" s="132" t="s">
        <v>1100</v>
      </c>
      <c r="J605" s="132" t="s">
        <v>1730</v>
      </c>
      <c r="K605" s="132" t="s">
        <v>1742</v>
      </c>
      <c r="L605" s="132" t="s">
        <v>1743</v>
      </c>
      <c r="M605" s="132" t="s">
        <v>2550</v>
      </c>
      <c r="N605" s="132" t="s">
        <v>1117</v>
      </c>
      <c r="O605" s="132" t="s">
        <v>2551</v>
      </c>
      <c r="P605" s="132" t="s">
        <v>2543</v>
      </c>
      <c r="Q605" s="132" t="s">
        <v>1108</v>
      </c>
    </row>
    <row r="606" spans="1:17" x14ac:dyDescent="0.2">
      <c r="A606" t="s">
        <v>220</v>
      </c>
      <c r="B606" s="141">
        <f t="shared" si="9"/>
        <v>3.13</v>
      </c>
      <c r="C606" s="280">
        <v>45663</v>
      </c>
      <c r="D606" s="279">
        <v>45664</v>
      </c>
      <c r="E606" s="279">
        <v>45665</v>
      </c>
      <c r="F606" s="132"/>
      <c r="G606" s="132" t="s">
        <v>1108</v>
      </c>
      <c r="H606" s="132" t="s">
        <v>373</v>
      </c>
      <c r="I606" s="132" t="s">
        <v>1100</v>
      </c>
      <c r="J606" s="132" t="s">
        <v>1730</v>
      </c>
      <c r="K606" s="132" t="s">
        <v>1742</v>
      </c>
      <c r="L606" s="132" t="s">
        <v>1743</v>
      </c>
      <c r="M606" s="132" t="s">
        <v>2552</v>
      </c>
      <c r="N606" s="132" t="s">
        <v>1117</v>
      </c>
      <c r="O606" s="132" t="s">
        <v>2553</v>
      </c>
      <c r="P606" s="132" t="s">
        <v>2543</v>
      </c>
      <c r="Q606" s="132" t="s">
        <v>1108</v>
      </c>
    </row>
    <row r="607" spans="1:17" x14ac:dyDescent="0.2">
      <c r="A607" t="s">
        <v>220</v>
      </c>
      <c r="B607" s="141">
        <f t="shared" si="9"/>
        <v>3.13</v>
      </c>
      <c r="C607" s="280">
        <v>45664</v>
      </c>
      <c r="D607" s="279">
        <v>45665</v>
      </c>
      <c r="E607" s="279">
        <v>45665</v>
      </c>
      <c r="F607" s="132"/>
      <c r="G607" s="132" t="s">
        <v>1108</v>
      </c>
      <c r="H607" s="132" t="s">
        <v>373</v>
      </c>
      <c r="I607" s="132" t="s">
        <v>1100</v>
      </c>
      <c r="J607" s="132" t="s">
        <v>1730</v>
      </c>
      <c r="K607" s="132" t="s">
        <v>1742</v>
      </c>
      <c r="L607" s="132" t="s">
        <v>1743</v>
      </c>
      <c r="M607" s="132" t="s">
        <v>2554</v>
      </c>
      <c r="N607" s="132" t="s">
        <v>1117</v>
      </c>
      <c r="O607" s="132" t="s">
        <v>2555</v>
      </c>
      <c r="P607" s="132" t="s">
        <v>2543</v>
      </c>
      <c r="Q607" s="132" t="s">
        <v>1108</v>
      </c>
    </row>
    <row r="608" spans="1:17" x14ac:dyDescent="0.2">
      <c r="A608" t="s">
        <v>220</v>
      </c>
      <c r="B608" s="141">
        <f t="shared" si="9"/>
        <v>3.13</v>
      </c>
      <c r="C608" s="280">
        <v>45664</v>
      </c>
      <c r="D608" s="279">
        <v>45665</v>
      </c>
      <c r="E608" s="279">
        <v>45665</v>
      </c>
      <c r="F608" s="132"/>
      <c r="G608" s="132" t="s">
        <v>1108</v>
      </c>
      <c r="H608" s="132" t="s">
        <v>373</v>
      </c>
      <c r="I608" s="132" t="s">
        <v>1100</v>
      </c>
      <c r="J608" s="132" t="s">
        <v>1730</v>
      </c>
      <c r="K608" s="132" t="s">
        <v>1742</v>
      </c>
      <c r="L608" s="132" t="s">
        <v>1743</v>
      </c>
      <c r="M608" s="132" t="s">
        <v>2556</v>
      </c>
      <c r="N608" s="132" t="s">
        <v>1117</v>
      </c>
      <c r="O608" s="132" t="s">
        <v>2557</v>
      </c>
      <c r="P608" s="132" t="s">
        <v>2543</v>
      </c>
      <c r="Q608" s="132" t="s">
        <v>1108</v>
      </c>
    </row>
    <row r="609" spans="1:17" x14ac:dyDescent="0.2">
      <c r="A609" t="s">
        <v>220</v>
      </c>
      <c r="B609" s="141">
        <f t="shared" si="9"/>
        <v>3.13</v>
      </c>
      <c r="C609" s="280">
        <v>45664</v>
      </c>
      <c r="D609" s="279">
        <v>45665</v>
      </c>
      <c r="E609" s="279">
        <v>45665</v>
      </c>
      <c r="F609" s="132"/>
      <c r="G609" s="132" t="s">
        <v>1863</v>
      </c>
      <c r="H609" s="132" t="s">
        <v>373</v>
      </c>
      <c r="I609" s="132" t="s">
        <v>1100</v>
      </c>
      <c r="J609" s="132" t="s">
        <v>1730</v>
      </c>
      <c r="K609" s="132" t="s">
        <v>1742</v>
      </c>
      <c r="L609" s="132" t="s">
        <v>1743</v>
      </c>
      <c r="M609" s="132" t="s">
        <v>2558</v>
      </c>
      <c r="N609" s="132" t="s">
        <v>1105</v>
      </c>
      <c r="O609" s="132" t="s">
        <v>2559</v>
      </c>
      <c r="P609" s="132" t="s">
        <v>2543</v>
      </c>
      <c r="Q609" s="132" t="s">
        <v>1108</v>
      </c>
    </row>
    <row r="610" spans="1:17" x14ac:dyDescent="0.2">
      <c r="A610" t="s">
        <v>220</v>
      </c>
      <c r="B610" s="141">
        <f t="shared" si="9"/>
        <v>3.13</v>
      </c>
      <c r="C610" s="280">
        <v>45664</v>
      </c>
      <c r="D610" s="279">
        <v>45665</v>
      </c>
      <c r="E610" s="279">
        <v>45665</v>
      </c>
      <c r="F610" s="132"/>
      <c r="G610" s="132" t="s">
        <v>1108</v>
      </c>
      <c r="H610" s="132" t="s">
        <v>373</v>
      </c>
      <c r="I610" s="132" t="s">
        <v>1100</v>
      </c>
      <c r="J610" s="132" t="s">
        <v>1730</v>
      </c>
      <c r="K610" s="132" t="s">
        <v>1742</v>
      </c>
      <c r="L610" s="132" t="s">
        <v>1743</v>
      </c>
      <c r="M610" s="132" t="s">
        <v>2560</v>
      </c>
      <c r="N610" s="132" t="s">
        <v>1117</v>
      </c>
      <c r="O610" s="132" t="s">
        <v>2561</v>
      </c>
      <c r="P610" s="132" t="s">
        <v>2543</v>
      </c>
      <c r="Q610" s="132" t="s">
        <v>1108</v>
      </c>
    </row>
    <row r="611" spans="1:17" x14ac:dyDescent="0.2">
      <c r="A611" t="s">
        <v>220</v>
      </c>
      <c r="B611" s="141">
        <f t="shared" si="9"/>
        <v>3.13</v>
      </c>
      <c r="C611" s="280">
        <v>45664</v>
      </c>
      <c r="D611" s="279">
        <v>45665</v>
      </c>
      <c r="E611" s="279">
        <v>45665</v>
      </c>
      <c r="F611" s="132"/>
      <c r="G611" s="132" t="s">
        <v>1108</v>
      </c>
      <c r="H611" s="132" t="s">
        <v>373</v>
      </c>
      <c r="I611" s="132" t="s">
        <v>1100</v>
      </c>
      <c r="J611" s="132" t="s">
        <v>1730</v>
      </c>
      <c r="K611" s="132" t="s">
        <v>1742</v>
      </c>
      <c r="L611" s="132" t="s">
        <v>1743</v>
      </c>
      <c r="M611" s="281" t="s">
        <v>2562</v>
      </c>
      <c r="N611" s="132" t="s">
        <v>1117</v>
      </c>
      <c r="O611" s="132" t="s">
        <v>2563</v>
      </c>
      <c r="P611" s="132" t="s">
        <v>2543</v>
      </c>
      <c r="Q611" s="132" t="s">
        <v>1108</v>
      </c>
    </row>
    <row r="612" spans="1:17" x14ac:dyDescent="0.2">
      <c r="A612" t="s">
        <v>220</v>
      </c>
      <c r="B612" s="141">
        <f t="shared" si="9"/>
        <v>3.13</v>
      </c>
      <c r="C612" s="280">
        <v>45664</v>
      </c>
      <c r="D612" s="279">
        <v>45665</v>
      </c>
      <c r="E612" s="279">
        <v>45665</v>
      </c>
      <c r="F612" s="132"/>
      <c r="G612" s="132" t="s">
        <v>1108</v>
      </c>
      <c r="H612" s="132" t="s">
        <v>373</v>
      </c>
      <c r="I612" s="132" t="s">
        <v>1100</v>
      </c>
      <c r="J612" s="132" t="s">
        <v>1730</v>
      </c>
      <c r="K612" s="132" t="s">
        <v>1742</v>
      </c>
      <c r="L612" s="132" t="s">
        <v>1743</v>
      </c>
      <c r="M612" s="132" t="s">
        <v>2564</v>
      </c>
      <c r="N612" s="132" t="s">
        <v>1117</v>
      </c>
      <c r="O612" s="132" t="s">
        <v>2565</v>
      </c>
      <c r="P612" s="132" t="s">
        <v>2543</v>
      </c>
      <c r="Q612" s="132" t="s">
        <v>1108</v>
      </c>
    </row>
    <row r="613" spans="1:17" x14ac:dyDescent="0.2">
      <c r="A613" t="s">
        <v>220</v>
      </c>
      <c r="B613" s="141">
        <f t="shared" si="9"/>
        <v>3.11</v>
      </c>
      <c r="C613" s="280">
        <v>45664</v>
      </c>
      <c r="D613" s="279">
        <v>45664</v>
      </c>
      <c r="E613" s="279">
        <v>45665</v>
      </c>
      <c r="F613" s="132"/>
      <c r="G613" s="132" t="s">
        <v>1108</v>
      </c>
      <c r="H613" s="132" t="s">
        <v>373</v>
      </c>
      <c r="I613" s="132" t="s">
        <v>1100</v>
      </c>
      <c r="J613" s="132" t="s">
        <v>1730</v>
      </c>
      <c r="K613" s="132" t="s">
        <v>1731</v>
      </c>
      <c r="L613" s="132" t="s">
        <v>1732</v>
      </c>
      <c r="M613" s="132" t="s">
        <v>2566</v>
      </c>
      <c r="N613" s="132" t="s">
        <v>1112</v>
      </c>
      <c r="O613" s="132" t="s">
        <v>2567</v>
      </c>
      <c r="P613" s="132" t="s">
        <v>2543</v>
      </c>
      <c r="Q613" s="132" t="s">
        <v>1108</v>
      </c>
    </row>
    <row r="614" spans="1:17" x14ac:dyDescent="0.2">
      <c r="A614" t="s">
        <v>221</v>
      </c>
      <c r="B614" s="141">
        <f t="shared" si="9"/>
        <v>4.09</v>
      </c>
      <c r="C614" s="280">
        <v>45664</v>
      </c>
      <c r="D614" s="279">
        <v>45664</v>
      </c>
      <c r="E614" s="279">
        <v>45665</v>
      </c>
      <c r="F614" s="132"/>
      <c r="G614" s="132" t="s">
        <v>1108</v>
      </c>
      <c r="H614" s="132" t="s">
        <v>373</v>
      </c>
      <c r="I614" s="132" t="s">
        <v>1100</v>
      </c>
      <c r="J614" s="132" t="s">
        <v>1754</v>
      </c>
      <c r="K614" s="132" t="s">
        <v>1792</v>
      </c>
      <c r="L614" s="132" t="s">
        <v>1793</v>
      </c>
      <c r="M614" s="132" t="s">
        <v>2568</v>
      </c>
      <c r="N614" s="132" t="s">
        <v>1112</v>
      </c>
      <c r="O614" s="132" t="s">
        <v>2569</v>
      </c>
      <c r="P614" s="132" t="s">
        <v>2543</v>
      </c>
      <c r="Q614" s="132" t="s">
        <v>1108</v>
      </c>
    </row>
    <row r="615" spans="1:17" x14ac:dyDescent="0.2">
      <c r="A615" t="s">
        <v>220</v>
      </c>
      <c r="B615" s="141">
        <f t="shared" si="9"/>
        <v>3.13</v>
      </c>
      <c r="C615" s="280">
        <v>45664</v>
      </c>
      <c r="D615" s="279">
        <v>45665</v>
      </c>
      <c r="E615" s="279">
        <v>45665</v>
      </c>
      <c r="F615" s="132"/>
      <c r="G615" s="132" t="s">
        <v>1108</v>
      </c>
      <c r="H615" s="132" t="s">
        <v>373</v>
      </c>
      <c r="I615" s="132" t="s">
        <v>1100</v>
      </c>
      <c r="J615" s="132" t="s">
        <v>1730</v>
      </c>
      <c r="K615" s="132" t="s">
        <v>1742</v>
      </c>
      <c r="L615" s="132" t="s">
        <v>1743</v>
      </c>
      <c r="M615" s="132" t="s">
        <v>2570</v>
      </c>
      <c r="N615" s="132" t="s">
        <v>1117</v>
      </c>
      <c r="O615" s="132" t="s">
        <v>2571</v>
      </c>
      <c r="P615" s="132" t="s">
        <v>2543</v>
      </c>
      <c r="Q615" s="132" t="s">
        <v>1108</v>
      </c>
    </row>
    <row r="616" spans="1:17" x14ac:dyDescent="0.2">
      <c r="A616" t="s">
        <v>220</v>
      </c>
      <c r="B616" s="141">
        <f t="shared" si="9"/>
        <v>3.11</v>
      </c>
      <c r="C616" s="280">
        <v>45664</v>
      </c>
      <c r="D616" s="279">
        <v>45664</v>
      </c>
      <c r="E616" s="279">
        <v>45665</v>
      </c>
      <c r="F616" s="132"/>
      <c r="G616" s="132" t="s">
        <v>1108</v>
      </c>
      <c r="H616" s="132" t="s">
        <v>373</v>
      </c>
      <c r="I616" s="132" t="s">
        <v>1100</v>
      </c>
      <c r="J616" s="132" t="s">
        <v>1730</v>
      </c>
      <c r="K616" s="132" t="s">
        <v>1731</v>
      </c>
      <c r="L616" s="132" t="s">
        <v>1732</v>
      </c>
      <c r="M616" s="132" t="s">
        <v>2572</v>
      </c>
      <c r="N616" s="132" t="s">
        <v>1112</v>
      </c>
      <c r="O616" s="132" t="s">
        <v>2573</v>
      </c>
      <c r="P616" s="132" t="s">
        <v>2543</v>
      </c>
      <c r="Q616" s="132" t="s">
        <v>1108</v>
      </c>
    </row>
    <row r="617" spans="1:17" x14ac:dyDescent="0.2">
      <c r="A617" t="s">
        <v>220</v>
      </c>
      <c r="B617" s="141">
        <f t="shared" si="9"/>
        <v>3.13</v>
      </c>
      <c r="C617" s="280">
        <v>45664</v>
      </c>
      <c r="D617" s="279">
        <v>45665</v>
      </c>
      <c r="E617" s="279">
        <v>45665</v>
      </c>
      <c r="F617" s="132"/>
      <c r="G617" s="132" t="s">
        <v>1320</v>
      </c>
      <c r="H617" s="132" t="s">
        <v>373</v>
      </c>
      <c r="I617" s="132" t="s">
        <v>1100</v>
      </c>
      <c r="J617" s="132" t="s">
        <v>1730</v>
      </c>
      <c r="K617" s="132" t="s">
        <v>1742</v>
      </c>
      <c r="L617" s="132" t="s">
        <v>1743</v>
      </c>
      <c r="M617" s="132" t="s">
        <v>2574</v>
      </c>
      <c r="N617" s="132" t="s">
        <v>1105</v>
      </c>
      <c r="O617" s="132" t="s">
        <v>2575</v>
      </c>
      <c r="P617" s="132" t="s">
        <v>2543</v>
      </c>
      <c r="Q617" s="132" t="s">
        <v>1108</v>
      </c>
    </row>
    <row r="618" spans="1:17" x14ac:dyDescent="0.2">
      <c r="A618" t="s">
        <v>220</v>
      </c>
      <c r="B618" s="141">
        <f t="shared" si="9"/>
        <v>3.11</v>
      </c>
      <c r="C618" s="280">
        <v>45664</v>
      </c>
      <c r="D618" s="279">
        <v>45665</v>
      </c>
      <c r="E618" s="279">
        <v>45666</v>
      </c>
      <c r="F618" s="132"/>
      <c r="G618" s="132" t="s">
        <v>1108</v>
      </c>
      <c r="H618" s="132" t="s">
        <v>373</v>
      </c>
      <c r="I618" s="132" t="s">
        <v>1100</v>
      </c>
      <c r="J618" s="132" t="s">
        <v>1730</v>
      </c>
      <c r="K618" s="132" t="s">
        <v>1731</v>
      </c>
      <c r="L618" s="132" t="s">
        <v>1732</v>
      </c>
      <c r="M618" s="132" t="s">
        <v>2576</v>
      </c>
      <c r="N618" s="132" t="s">
        <v>1112</v>
      </c>
      <c r="O618" s="132" t="s">
        <v>2577</v>
      </c>
      <c r="P618" s="132" t="s">
        <v>2578</v>
      </c>
      <c r="Q618" s="132" t="s">
        <v>1108</v>
      </c>
    </row>
    <row r="619" spans="1:17" x14ac:dyDescent="0.2">
      <c r="A619" t="s">
        <v>220</v>
      </c>
      <c r="B619" s="141">
        <f t="shared" si="9"/>
        <v>3.13</v>
      </c>
      <c r="C619" s="280">
        <v>45664</v>
      </c>
      <c r="D619" s="279">
        <v>45665</v>
      </c>
      <c r="E619" s="279">
        <v>45666</v>
      </c>
      <c r="F619" s="132"/>
      <c r="G619" s="132" t="s">
        <v>1108</v>
      </c>
      <c r="H619" s="132" t="s">
        <v>373</v>
      </c>
      <c r="I619" s="132" t="s">
        <v>1100</v>
      </c>
      <c r="J619" s="132" t="s">
        <v>1730</v>
      </c>
      <c r="K619" s="132" t="s">
        <v>1742</v>
      </c>
      <c r="L619" s="132" t="s">
        <v>1743</v>
      </c>
      <c r="M619" s="132" t="s">
        <v>2579</v>
      </c>
      <c r="N619" s="132" t="s">
        <v>1117</v>
      </c>
      <c r="O619" s="132" t="s">
        <v>2580</v>
      </c>
      <c r="P619" s="132" t="s">
        <v>2578</v>
      </c>
      <c r="Q619" s="132" t="s">
        <v>1108</v>
      </c>
    </row>
    <row r="620" spans="1:17" x14ac:dyDescent="0.2">
      <c r="A620" t="s">
        <v>221</v>
      </c>
      <c r="B620" s="141">
        <f t="shared" si="9"/>
        <v>4.09</v>
      </c>
      <c r="C620" s="280">
        <v>45664</v>
      </c>
      <c r="D620" s="279">
        <v>45665</v>
      </c>
      <c r="E620" s="279">
        <v>45666</v>
      </c>
      <c r="F620" s="132"/>
      <c r="G620" s="132" t="s">
        <v>1108</v>
      </c>
      <c r="H620" s="132" t="s">
        <v>373</v>
      </c>
      <c r="I620" s="132" t="s">
        <v>1100</v>
      </c>
      <c r="J620" s="132" t="s">
        <v>1754</v>
      </c>
      <c r="K620" s="132" t="s">
        <v>1792</v>
      </c>
      <c r="L620" s="132" t="s">
        <v>1793</v>
      </c>
      <c r="M620" s="132" t="s">
        <v>2581</v>
      </c>
      <c r="N620" s="132" t="s">
        <v>1112</v>
      </c>
      <c r="O620" s="132" t="s">
        <v>2582</v>
      </c>
      <c r="P620" s="132" t="s">
        <v>2578</v>
      </c>
      <c r="Q620" s="132" t="s">
        <v>1108</v>
      </c>
    </row>
    <row r="621" spans="1:17" x14ac:dyDescent="0.2">
      <c r="A621" t="s">
        <v>220</v>
      </c>
      <c r="B621" s="141">
        <f t="shared" si="9"/>
        <v>3.13</v>
      </c>
      <c r="C621" s="280">
        <v>45664</v>
      </c>
      <c r="D621" s="279">
        <v>45665</v>
      </c>
      <c r="E621" s="279">
        <v>45666</v>
      </c>
      <c r="F621" s="132"/>
      <c r="G621" s="132" t="s">
        <v>1108</v>
      </c>
      <c r="H621" s="132" t="s">
        <v>373</v>
      </c>
      <c r="I621" s="132" t="s">
        <v>1100</v>
      </c>
      <c r="J621" s="132" t="s">
        <v>1730</v>
      </c>
      <c r="K621" s="132" t="s">
        <v>1742</v>
      </c>
      <c r="L621" s="132" t="s">
        <v>1743</v>
      </c>
      <c r="M621" s="132" t="s">
        <v>2583</v>
      </c>
      <c r="N621" s="132" t="s">
        <v>1117</v>
      </c>
      <c r="O621" s="132" t="s">
        <v>2584</v>
      </c>
      <c r="P621" s="132" t="s">
        <v>2578</v>
      </c>
      <c r="Q621" s="132" t="s">
        <v>1108</v>
      </c>
    </row>
    <row r="622" spans="1:17" x14ac:dyDescent="0.2">
      <c r="A622" t="s">
        <v>220</v>
      </c>
      <c r="B622" s="141">
        <f t="shared" si="9"/>
        <v>3.11</v>
      </c>
      <c r="C622" s="280">
        <v>45664</v>
      </c>
      <c r="D622" s="279">
        <v>45665</v>
      </c>
      <c r="E622" s="279">
        <v>45666</v>
      </c>
      <c r="F622" s="132"/>
      <c r="G622" s="132" t="s">
        <v>1108</v>
      </c>
      <c r="H622" s="132" t="s">
        <v>373</v>
      </c>
      <c r="I622" s="132" t="s">
        <v>1100</v>
      </c>
      <c r="J622" s="132" t="s">
        <v>1730</v>
      </c>
      <c r="K622" s="132" t="s">
        <v>1731</v>
      </c>
      <c r="L622" s="132" t="s">
        <v>1732</v>
      </c>
      <c r="M622" s="132" t="s">
        <v>2585</v>
      </c>
      <c r="N622" s="132" t="s">
        <v>1112</v>
      </c>
      <c r="O622" s="132" t="s">
        <v>2586</v>
      </c>
      <c r="P622" s="132" t="s">
        <v>2578</v>
      </c>
      <c r="Q622" s="132" t="s">
        <v>1108</v>
      </c>
    </row>
    <row r="623" spans="1:17" x14ac:dyDescent="0.2">
      <c r="A623" t="s">
        <v>220</v>
      </c>
      <c r="B623" s="141">
        <f t="shared" si="9"/>
        <v>3.13</v>
      </c>
      <c r="C623" s="280">
        <v>45664</v>
      </c>
      <c r="D623" s="279">
        <v>45665</v>
      </c>
      <c r="E623" s="279">
        <v>45666</v>
      </c>
      <c r="F623" s="132"/>
      <c r="G623" s="132" t="s">
        <v>1108</v>
      </c>
      <c r="H623" s="132" t="s">
        <v>373</v>
      </c>
      <c r="I623" s="132" t="s">
        <v>1100</v>
      </c>
      <c r="J623" s="132" t="s">
        <v>1730</v>
      </c>
      <c r="K623" s="132" t="s">
        <v>1742</v>
      </c>
      <c r="L623" s="132" t="s">
        <v>1743</v>
      </c>
      <c r="M623" s="132" t="s">
        <v>2587</v>
      </c>
      <c r="N623" s="132" t="s">
        <v>1117</v>
      </c>
      <c r="O623" s="132" t="s">
        <v>2588</v>
      </c>
      <c r="P623" s="132" t="s">
        <v>2578</v>
      </c>
      <c r="Q623" s="132" t="s">
        <v>1108</v>
      </c>
    </row>
    <row r="624" spans="1:17" x14ac:dyDescent="0.2">
      <c r="A624" t="s">
        <v>220</v>
      </c>
      <c r="B624" s="141">
        <f t="shared" si="9"/>
        <v>3.13</v>
      </c>
      <c r="C624" s="280">
        <v>45664</v>
      </c>
      <c r="D624" s="279">
        <v>45665</v>
      </c>
      <c r="E624" s="279">
        <v>45666</v>
      </c>
      <c r="F624" s="132"/>
      <c r="G624" s="132" t="s">
        <v>1166</v>
      </c>
      <c r="H624" s="132" t="s">
        <v>373</v>
      </c>
      <c r="I624" s="132" t="s">
        <v>1100</v>
      </c>
      <c r="J624" s="132" t="s">
        <v>1730</v>
      </c>
      <c r="K624" s="132" t="s">
        <v>1742</v>
      </c>
      <c r="L624" s="132" t="s">
        <v>1743</v>
      </c>
      <c r="M624" s="132" t="s">
        <v>2589</v>
      </c>
      <c r="N624" s="132" t="s">
        <v>1105</v>
      </c>
      <c r="O624" s="132" t="s">
        <v>2590</v>
      </c>
      <c r="P624" s="132" t="s">
        <v>2578</v>
      </c>
      <c r="Q624" s="132" t="s">
        <v>1108</v>
      </c>
    </row>
    <row r="625" spans="1:17" x14ac:dyDescent="0.2">
      <c r="A625" t="s">
        <v>220</v>
      </c>
      <c r="B625" s="141">
        <f t="shared" si="9"/>
        <v>3.11</v>
      </c>
      <c r="C625" s="280">
        <v>45664</v>
      </c>
      <c r="D625" s="279">
        <v>45665</v>
      </c>
      <c r="E625" s="279">
        <v>45666</v>
      </c>
      <c r="F625" s="132"/>
      <c r="G625" s="132" t="s">
        <v>1108</v>
      </c>
      <c r="H625" s="132" t="s">
        <v>373</v>
      </c>
      <c r="I625" s="132" t="s">
        <v>1100</v>
      </c>
      <c r="J625" s="132" t="s">
        <v>1730</v>
      </c>
      <c r="K625" s="132" t="s">
        <v>1731</v>
      </c>
      <c r="L625" s="132" t="s">
        <v>1732</v>
      </c>
      <c r="M625" s="132" t="s">
        <v>2591</v>
      </c>
      <c r="N625" s="132" t="s">
        <v>1112</v>
      </c>
      <c r="O625" s="132" t="s">
        <v>2592</v>
      </c>
      <c r="P625" s="132" t="s">
        <v>2578</v>
      </c>
      <c r="Q625" s="132" t="s">
        <v>1108</v>
      </c>
    </row>
    <row r="626" spans="1:17" x14ac:dyDescent="0.2">
      <c r="A626" t="s">
        <v>220</v>
      </c>
      <c r="B626" s="141">
        <f t="shared" si="9"/>
        <v>3.13</v>
      </c>
      <c r="C626" s="280">
        <v>45664</v>
      </c>
      <c r="D626" s="279">
        <v>45665</v>
      </c>
      <c r="E626" s="279">
        <v>45666</v>
      </c>
      <c r="F626" s="132"/>
      <c r="G626" s="132" t="s">
        <v>1303</v>
      </c>
      <c r="H626" s="132" t="s">
        <v>373</v>
      </c>
      <c r="I626" s="132" t="s">
        <v>1100</v>
      </c>
      <c r="J626" s="132" t="s">
        <v>1730</v>
      </c>
      <c r="K626" s="132" t="s">
        <v>1742</v>
      </c>
      <c r="L626" s="132" t="s">
        <v>1743</v>
      </c>
      <c r="M626" s="132" t="s">
        <v>2593</v>
      </c>
      <c r="N626" s="132" t="s">
        <v>1105</v>
      </c>
      <c r="O626" s="132" t="s">
        <v>2594</v>
      </c>
      <c r="P626" s="132" t="s">
        <v>2578</v>
      </c>
      <c r="Q626" s="132" t="s">
        <v>1108</v>
      </c>
    </row>
    <row r="627" spans="1:17" x14ac:dyDescent="0.2">
      <c r="A627" t="s">
        <v>220</v>
      </c>
      <c r="B627" s="141">
        <f t="shared" si="9"/>
        <v>3.11</v>
      </c>
      <c r="C627" s="280">
        <v>45664</v>
      </c>
      <c r="D627" s="279">
        <v>45665</v>
      </c>
      <c r="E627" s="279">
        <v>45666</v>
      </c>
      <c r="F627" s="132"/>
      <c r="G627" s="132" t="s">
        <v>1108</v>
      </c>
      <c r="H627" s="132" t="s">
        <v>373</v>
      </c>
      <c r="I627" s="132" t="s">
        <v>1100</v>
      </c>
      <c r="J627" s="132" t="s">
        <v>1730</v>
      </c>
      <c r="K627" s="132" t="s">
        <v>1731</v>
      </c>
      <c r="L627" s="132" t="s">
        <v>1732</v>
      </c>
      <c r="M627" s="132" t="s">
        <v>2595</v>
      </c>
      <c r="N627" s="132" t="s">
        <v>1112</v>
      </c>
      <c r="O627" s="132" t="s">
        <v>2596</v>
      </c>
      <c r="P627" s="132" t="s">
        <v>2578</v>
      </c>
      <c r="Q627" s="132" t="s">
        <v>1108</v>
      </c>
    </row>
    <row r="628" spans="1:17" x14ac:dyDescent="0.2">
      <c r="A628" t="s">
        <v>220</v>
      </c>
      <c r="B628" s="141">
        <f t="shared" si="9"/>
        <v>3.13</v>
      </c>
      <c r="C628" s="280">
        <v>45664</v>
      </c>
      <c r="D628" s="279">
        <v>45665</v>
      </c>
      <c r="E628" s="279">
        <v>45666</v>
      </c>
      <c r="F628" s="132"/>
      <c r="G628" s="132" t="s">
        <v>1357</v>
      </c>
      <c r="H628" s="132" t="s">
        <v>373</v>
      </c>
      <c r="I628" s="132" t="s">
        <v>1100</v>
      </c>
      <c r="J628" s="132" t="s">
        <v>1730</v>
      </c>
      <c r="K628" s="132" t="s">
        <v>1742</v>
      </c>
      <c r="L628" s="132" t="s">
        <v>1743</v>
      </c>
      <c r="M628" s="132" t="s">
        <v>2597</v>
      </c>
      <c r="N628" s="132" t="s">
        <v>1105</v>
      </c>
      <c r="O628" s="132" t="s">
        <v>2598</v>
      </c>
      <c r="P628" s="132" t="s">
        <v>2578</v>
      </c>
      <c r="Q628" s="132" t="s">
        <v>1108</v>
      </c>
    </row>
    <row r="629" spans="1:17" x14ac:dyDescent="0.2">
      <c r="A629" t="s">
        <v>220</v>
      </c>
      <c r="B629" s="141">
        <f t="shared" si="9"/>
        <v>3.13</v>
      </c>
      <c r="C629" s="280">
        <v>45664</v>
      </c>
      <c r="D629" s="279">
        <v>45665</v>
      </c>
      <c r="E629" s="279">
        <v>45666</v>
      </c>
      <c r="F629" s="132"/>
      <c r="G629" s="132" t="s">
        <v>2599</v>
      </c>
      <c r="H629" s="132" t="s">
        <v>373</v>
      </c>
      <c r="I629" s="132" t="s">
        <v>1100</v>
      </c>
      <c r="J629" s="132" t="s">
        <v>1730</v>
      </c>
      <c r="K629" s="132" t="s">
        <v>1742</v>
      </c>
      <c r="L629" s="132" t="s">
        <v>1743</v>
      </c>
      <c r="M629" s="132" t="s">
        <v>2600</v>
      </c>
      <c r="N629" s="132" t="s">
        <v>1105</v>
      </c>
      <c r="O629" s="132" t="s">
        <v>2601</v>
      </c>
      <c r="P629" s="132" t="s">
        <v>2578</v>
      </c>
      <c r="Q629" s="132" t="s">
        <v>1108</v>
      </c>
    </row>
    <row r="630" spans="1:17" x14ac:dyDescent="0.2">
      <c r="A630" t="s">
        <v>220</v>
      </c>
      <c r="B630" s="141">
        <f t="shared" si="9"/>
        <v>3.13</v>
      </c>
      <c r="C630" s="280">
        <v>45664</v>
      </c>
      <c r="D630" s="279">
        <v>45665</v>
      </c>
      <c r="E630" s="279">
        <v>45666</v>
      </c>
      <c r="F630" s="132"/>
      <c r="G630" s="132" t="s">
        <v>1108</v>
      </c>
      <c r="H630" s="132" t="s">
        <v>373</v>
      </c>
      <c r="I630" s="132" t="s">
        <v>1100</v>
      </c>
      <c r="J630" s="132" t="s">
        <v>1730</v>
      </c>
      <c r="K630" s="132" t="s">
        <v>1742</v>
      </c>
      <c r="L630" s="132" t="s">
        <v>1743</v>
      </c>
      <c r="M630" s="132" t="s">
        <v>2602</v>
      </c>
      <c r="N630" s="132" t="s">
        <v>1117</v>
      </c>
      <c r="O630" s="132" t="s">
        <v>2603</v>
      </c>
      <c r="P630" s="132" t="s">
        <v>2578</v>
      </c>
      <c r="Q630" s="132" t="s">
        <v>1108</v>
      </c>
    </row>
    <row r="631" spans="1:17" x14ac:dyDescent="0.2">
      <c r="A631" t="s">
        <v>220</v>
      </c>
      <c r="B631" s="141">
        <f t="shared" ref="B631:B694" si="10">_xlfn.NUMBERVALUE(L631)*0.01</f>
        <v>3.13</v>
      </c>
      <c r="C631" s="280">
        <v>45664</v>
      </c>
      <c r="D631" s="279">
        <v>45665</v>
      </c>
      <c r="E631" s="279">
        <v>45666</v>
      </c>
      <c r="F631" s="132"/>
      <c r="G631" s="132" t="s">
        <v>1108</v>
      </c>
      <c r="H631" s="132" t="s">
        <v>373</v>
      </c>
      <c r="I631" s="132" t="s">
        <v>1100</v>
      </c>
      <c r="J631" s="132" t="s">
        <v>1730</v>
      </c>
      <c r="K631" s="132" t="s">
        <v>1742</v>
      </c>
      <c r="L631" s="132" t="s">
        <v>1743</v>
      </c>
      <c r="M631" s="132" t="s">
        <v>2604</v>
      </c>
      <c r="N631" s="132" t="s">
        <v>1117</v>
      </c>
      <c r="O631" s="132" t="s">
        <v>2605</v>
      </c>
      <c r="P631" s="132" t="s">
        <v>2578</v>
      </c>
      <c r="Q631" s="132" t="s">
        <v>1108</v>
      </c>
    </row>
    <row r="632" spans="1:17" x14ac:dyDescent="0.2">
      <c r="A632" t="s">
        <v>220</v>
      </c>
      <c r="B632" s="141">
        <f t="shared" si="10"/>
        <v>3.13</v>
      </c>
      <c r="C632" s="280">
        <v>45665</v>
      </c>
      <c r="D632" s="279">
        <v>45666</v>
      </c>
      <c r="E632" s="279">
        <v>45666</v>
      </c>
      <c r="F632" s="132"/>
      <c r="G632" s="132" t="s">
        <v>1108</v>
      </c>
      <c r="H632" s="132" t="s">
        <v>373</v>
      </c>
      <c r="I632" s="132" t="s">
        <v>1100</v>
      </c>
      <c r="J632" s="132" t="s">
        <v>1730</v>
      </c>
      <c r="K632" s="132" t="s">
        <v>1742</v>
      </c>
      <c r="L632" s="132" t="s">
        <v>1743</v>
      </c>
      <c r="M632" s="132" t="s">
        <v>2606</v>
      </c>
      <c r="N632" s="132" t="s">
        <v>1117</v>
      </c>
      <c r="O632" s="132" t="s">
        <v>2607</v>
      </c>
      <c r="P632" s="132" t="s">
        <v>2578</v>
      </c>
      <c r="Q632" s="132" t="s">
        <v>1108</v>
      </c>
    </row>
    <row r="633" spans="1:17" x14ac:dyDescent="0.2">
      <c r="A633" t="s">
        <v>221</v>
      </c>
      <c r="B633" s="141">
        <f t="shared" si="10"/>
        <v>4.1100000000000003</v>
      </c>
      <c r="C633" s="280">
        <v>45665</v>
      </c>
      <c r="D633" s="279">
        <v>45666</v>
      </c>
      <c r="E633" s="279">
        <v>45666</v>
      </c>
      <c r="F633" s="132"/>
      <c r="G633" s="132" t="s">
        <v>1406</v>
      </c>
      <c r="H633" s="132" t="s">
        <v>373</v>
      </c>
      <c r="I633" s="132" t="s">
        <v>1100</v>
      </c>
      <c r="J633" s="132" t="s">
        <v>1754</v>
      </c>
      <c r="K633" s="132" t="s">
        <v>1755</v>
      </c>
      <c r="L633" s="132" t="s">
        <v>1756</v>
      </c>
      <c r="M633" s="132" t="s">
        <v>2608</v>
      </c>
      <c r="N633" s="132" t="s">
        <v>1105</v>
      </c>
      <c r="O633" s="132" t="s">
        <v>2609</v>
      </c>
      <c r="P633" s="132" t="s">
        <v>2578</v>
      </c>
      <c r="Q633" s="132" t="s">
        <v>1108</v>
      </c>
    </row>
    <row r="634" spans="1:17" x14ac:dyDescent="0.2">
      <c r="A634" t="s">
        <v>220</v>
      </c>
      <c r="B634" s="141">
        <f t="shared" si="10"/>
        <v>3.13</v>
      </c>
      <c r="C634" s="280">
        <v>45665</v>
      </c>
      <c r="D634" s="279">
        <v>45666</v>
      </c>
      <c r="E634" s="279">
        <v>45666</v>
      </c>
      <c r="F634" s="132"/>
      <c r="G634" s="132" t="s">
        <v>1108</v>
      </c>
      <c r="H634" s="132" t="s">
        <v>373</v>
      </c>
      <c r="I634" s="132" t="s">
        <v>1100</v>
      </c>
      <c r="J634" s="132" t="s">
        <v>1730</v>
      </c>
      <c r="K634" s="132" t="s">
        <v>1742</v>
      </c>
      <c r="L634" s="132" t="s">
        <v>1743</v>
      </c>
      <c r="M634" s="132" t="s">
        <v>2610</v>
      </c>
      <c r="N634" s="132" t="s">
        <v>1117</v>
      </c>
      <c r="O634" s="132" t="s">
        <v>2611</v>
      </c>
      <c r="P634" s="132" t="s">
        <v>2578</v>
      </c>
      <c r="Q634" s="132" t="s">
        <v>1108</v>
      </c>
    </row>
    <row r="635" spans="1:17" x14ac:dyDescent="0.2">
      <c r="A635" t="s">
        <v>220</v>
      </c>
      <c r="B635" s="141">
        <f t="shared" si="10"/>
        <v>3.13</v>
      </c>
      <c r="C635" s="280">
        <v>45665</v>
      </c>
      <c r="D635" s="279">
        <v>45666</v>
      </c>
      <c r="E635" s="279">
        <v>45666</v>
      </c>
      <c r="F635" s="132"/>
      <c r="G635" s="132" t="s">
        <v>1108</v>
      </c>
      <c r="H635" s="132" t="s">
        <v>373</v>
      </c>
      <c r="I635" s="132" t="s">
        <v>1100</v>
      </c>
      <c r="J635" s="132" t="s">
        <v>1730</v>
      </c>
      <c r="K635" s="132" t="s">
        <v>1742</v>
      </c>
      <c r="L635" s="132" t="s">
        <v>1743</v>
      </c>
      <c r="M635" s="132" t="s">
        <v>2612</v>
      </c>
      <c r="N635" s="132" t="s">
        <v>1117</v>
      </c>
      <c r="O635" s="132" t="s">
        <v>2613</v>
      </c>
      <c r="P635" s="132" t="s">
        <v>2578</v>
      </c>
      <c r="Q635" s="132" t="s">
        <v>1108</v>
      </c>
    </row>
    <row r="636" spans="1:17" x14ac:dyDescent="0.2">
      <c r="A636" t="s">
        <v>220</v>
      </c>
      <c r="B636" s="141">
        <f t="shared" si="10"/>
        <v>3.11</v>
      </c>
      <c r="C636" s="280">
        <v>45665</v>
      </c>
      <c r="D636" s="279">
        <v>45665</v>
      </c>
      <c r="E636" s="279">
        <v>45666</v>
      </c>
      <c r="F636" s="132"/>
      <c r="G636" s="132" t="s">
        <v>1108</v>
      </c>
      <c r="H636" s="132" t="s">
        <v>373</v>
      </c>
      <c r="I636" s="132" t="s">
        <v>1100</v>
      </c>
      <c r="J636" s="132" t="s">
        <v>1730</v>
      </c>
      <c r="K636" s="132" t="s">
        <v>1731</v>
      </c>
      <c r="L636" s="132" t="s">
        <v>1732</v>
      </c>
      <c r="M636" s="132" t="s">
        <v>2614</v>
      </c>
      <c r="N636" s="132" t="s">
        <v>1112</v>
      </c>
      <c r="O636" s="132" t="s">
        <v>2615</v>
      </c>
      <c r="P636" s="132" t="s">
        <v>2578</v>
      </c>
      <c r="Q636" s="132" t="s">
        <v>1108</v>
      </c>
    </row>
    <row r="637" spans="1:17" x14ac:dyDescent="0.2">
      <c r="A637" t="s">
        <v>221</v>
      </c>
      <c r="B637" s="141">
        <f t="shared" si="10"/>
        <v>4.09</v>
      </c>
      <c r="C637" s="280">
        <v>45665</v>
      </c>
      <c r="D637" s="279">
        <v>45665</v>
      </c>
      <c r="E637" s="279">
        <v>45666</v>
      </c>
      <c r="F637" s="132"/>
      <c r="G637" s="132" t="s">
        <v>1108</v>
      </c>
      <c r="H637" s="132" t="s">
        <v>373</v>
      </c>
      <c r="I637" s="132" t="s">
        <v>1100</v>
      </c>
      <c r="J637" s="132" t="s">
        <v>1754</v>
      </c>
      <c r="K637" s="132" t="s">
        <v>1792</v>
      </c>
      <c r="L637" s="132" t="s">
        <v>1793</v>
      </c>
      <c r="M637" s="132" t="s">
        <v>2616</v>
      </c>
      <c r="N637" s="132" t="s">
        <v>1112</v>
      </c>
      <c r="O637" s="132" t="s">
        <v>2617</v>
      </c>
      <c r="P637" s="132" t="s">
        <v>2578</v>
      </c>
      <c r="Q637" s="132" t="s">
        <v>1108</v>
      </c>
    </row>
    <row r="638" spans="1:17" x14ac:dyDescent="0.2">
      <c r="A638" t="s">
        <v>221</v>
      </c>
      <c r="B638" s="141">
        <f t="shared" si="10"/>
        <v>4.09</v>
      </c>
      <c r="C638" s="280">
        <v>45665</v>
      </c>
      <c r="D638" s="279">
        <v>45665</v>
      </c>
      <c r="E638" s="279">
        <v>45666</v>
      </c>
      <c r="F638" s="132"/>
      <c r="G638" s="132" t="s">
        <v>1108</v>
      </c>
      <c r="H638" s="132" t="s">
        <v>373</v>
      </c>
      <c r="I638" s="132" t="s">
        <v>1100</v>
      </c>
      <c r="J638" s="132" t="s">
        <v>1754</v>
      </c>
      <c r="K638" s="132" t="s">
        <v>1792</v>
      </c>
      <c r="L638" s="132" t="s">
        <v>1793</v>
      </c>
      <c r="M638" s="132" t="s">
        <v>2618</v>
      </c>
      <c r="N638" s="132" t="s">
        <v>1112</v>
      </c>
      <c r="O638" s="132" t="s">
        <v>2619</v>
      </c>
      <c r="P638" s="132" t="s">
        <v>2578</v>
      </c>
      <c r="Q638" s="132" t="s">
        <v>1108</v>
      </c>
    </row>
    <row r="639" spans="1:17" x14ac:dyDescent="0.2">
      <c r="A639" t="s">
        <v>221</v>
      </c>
      <c r="B639" s="141">
        <f t="shared" si="10"/>
        <v>4.1100000000000003</v>
      </c>
      <c r="C639" s="280">
        <v>45665</v>
      </c>
      <c r="D639" s="279">
        <v>45665</v>
      </c>
      <c r="E639" s="279">
        <v>45666</v>
      </c>
      <c r="F639" s="132"/>
      <c r="G639" s="132" t="s">
        <v>1108</v>
      </c>
      <c r="H639" s="132" t="s">
        <v>373</v>
      </c>
      <c r="I639" s="132" t="s">
        <v>1100</v>
      </c>
      <c r="J639" s="132" t="s">
        <v>1754</v>
      </c>
      <c r="K639" s="132" t="s">
        <v>1755</v>
      </c>
      <c r="L639" s="132" t="s">
        <v>1756</v>
      </c>
      <c r="M639" s="132" t="s">
        <v>2620</v>
      </c>
      <c r="N639" s="132" t="s">
        <v>1117</v>
      </c>
      <c r="O639" s="132" t="s">
        <v>2621</v>
      </c>
      <c r="P639" s="132" t="s">
        <v>2578</v>
      </c>
      <c r="Q639" s="132" t="s">
        <v>1108</v>
      </c>
    </row>
    <row r="640" spans="1:17" x14ac:dyDescent="0.2">
      <c r="A640" t="s">
        <v>220</v>
      </c>
      <c r="B640" s="141">
        <f t="shared" si="10"/>
        <v>3.11</v>
      </c>
      <c r="C640" s="280">
        <v>45665</v>
      </c>
      <c r="D640" s="279">
        <v>45666</v>
      </c>
      <c r="E640" s="279">
        <v>45667</v>
      </c>
      <c r="F640" s="132"/>
      <c r="G640" s="132" t="s">
        <v>1108</v>
      </c>
      <c r="H640" s="132" t="s">
        <v>373</v>
      </c>
      <c r="I640" s="132" t="s">
        <v>1100</v>
      </c>
      <c r="J640" s="132" t="s">
        <v>1730</v>
      </c>
      <c r="K640" s="132" t="s">
        <v>1731</v>
      </c>
      <c r="L640" s="132" t="s">
        <v>1732</v>
      </c>
      <c r="M640" s="132" t="s">
        <v>2622</v>
      </c>
      <c r="N640" s="132" t="s">
        <v>1112</v>
      </c>
      <c r="O640" s="132" t="s">
        <v>2623</v>
      </c>
      <c r="P640" s="132" t="s">
        <v>2624</v>
      </c>
      <c r="Q640" s="132" t="s">
        <v>1108</v>
      </c>
    </row>
    <row r="641" spans="1:17" x14ac:dyDescent="0.2">
      <c r="A641" t="s">
        <v>220</v>
      </c>
      <c r="B641" s="141">
        <f t="shared" si="10"/>
        <v>3.13</v>
      </c>
      <c r="C641" s="280">
        <v>45665</v>
      </c>
      <c r="D641" s="279">
        <v>45666</v>
      </c>
      <c r="E641" s="279">
        <v>45667</v>
      </c>
      <c r="F641" s="132"/>
      <c r="G641" s="132" t="s">
        <v>1290</v>
      </c>
      <c r="H641" s="132" t="s">
        <v>373</v>
      </c>
      <c r="I641" s="132" t="s">
        <v>1100</v>
      </c>
      <c r="J641" s="132" t="s">
        <v>1730</v>
      </c>
      <c r="K641" s="132" t="s">
        <v>1742</v>
      </c>
      <c r="L641" s="132" t="s">
        <v>1743</v>
      </c>
      <c r="M641" s="132" t="s">
        <v>2625</v>
      </c>
      <c r="N641" s="132" t="s">
        <v>1105</v>
      </c>
      <c r="O641" s="132" t="s">
        <v>2626</v>
      </c>
      <c r="P641" s="132" t="s">
        <v>2624</v>
      </c>
      <c r="Q641" s="132" t="s">
        <v>1108</v>
      </c>
    </row>
    <row r="642" spans="1:17" x14ac:dyDescent="0.2">
      <c r="A642" t="s">
        <v>221</v>
      </c>
      <c r="B642" s="141">
        <f t="shared" si="10"/>
        <v>4.1100000000000003</v>
      </c>
      <c r="C642" s="280">
        <v>45665</v>
      </c>
      <c r="D642" s="279">
        <v>45666</v>
      </c>
      <c r="E642" s="279">
        <v>45667</v>
      </c>
      <c r="F642" s="132"/>
      <c r="G642" s="132" t="s">
        <v>1108</v>
      </c>
      <c r="H642" s="132" t="s">
        <v>373</v>
      </c>
      <c r="I642" s="132" t="s">
        <v>1100</v>
      </c>
      <c r="J642" s="132" t="s">
        <v>1754</v>
      </c>
      <c r="K642" s="132" t="s">
        <v>1755</v>
      </c>
      <c r="L642" s="132" t="s">
        <v>1756</v>
      </c>
      <c r="M642" s="132" t="s">
        <v>2627</v>
      </c>
      <c r="N642" s="132" t="s">
        <v>1117</v>
      </c>
      <c r="O642" s="132" t="s">
        <v>2628</v>
      </c>
      <c r="P642" s="132" t="s">
        <v>2624</v>
      </c>
      <c r="Q642" s="132" t="s">
        <v>1108</v>
      </c>
    </row>
    <row r="643" spans="1:17" x14ac:dyDescent="0.2">
      <c r="A643" t="s">
        <v>220</v>
      </c>
      <c r="B643" s="141">
        <f t="shared" si="10"/>
        <v>3.13</v>
      </c>
      <c r="C643" s="280">
        <v>45665</v>
      </c>
      <c r="D643" s="279">
        <v>45666</v>
      </c>
      <c r="E643" s="279">
        <v>45667</v>
      </c>
      <c r="F643" s="132"/>
      <c r="G643" s="132" t="s">
        <v>1665</v>
      </c>
      <c r="H643" s="132" t="s">
        <v>373</v>
      </c>
      <c r="I643" s="132" t="s">
        <v>1100</v>
      </c>
      <c r="J643" s="132" t="s">
        <v>1730</v>
      </c>
      <c r="K643" s="132" t="s">
        <v>1742</v>
      </c>
      <c r="L643" s="132" t="s">
        <v>1743</v>
      </c>
      <c r="M643" s="132" t="s">
        <v>2629</v>
      </c>
      <c r="N643" s="132" t="s">
        <v>1105</v>
      </c>
      <c r="O643" s="132" t="s">
        <v>2630</v>
      </c>
      <c r="P643" s="132" t="s">
        <v>2624</v>
      </c>
      <c r="Q643" s="132" t="s">
        <v>1108</v>
      </c>
    </row>
    <row r="644" spans="1:17" x14ac:dyDescent="0.2">
      <c r="A644" t="s">
        <v>221</v>
      </c>
      <c r="B644" s="141">
        <f t="shared" si="10"/>
        <v>4.09</v>
      </c>
      <c r="C644" s="280">
        <v>45665</v>
      </c>
      <c r="D644" s="279">
        <v>45666</v>
      </c>
      <c r="E644" s="279">
        <v>45667</v>
      </c>
      <c r="F644" s="132"/>
      <c r="G644" s="132" t="s">
        <v>1108</v>
      </c>
      <c r="H644" s="132" t="s">
        <v>373</v>
      </c>
      <c r="I644" s="132" t="s">
        <v>1100</v>
      </c>
      <c r="J644" s="132" t="s">
        <v>1754</v>
      </c>
      <c r="K644" s="132" t="s">
        <v>1792</v>
      </c>
      <c r="L644" s="132" t="s">
        <v>1793</v>
      </c>
      <c r="M644" s="132" t="s">
        <v>2631</v>
      </c>
      <c r="N644" s="132" t="s">
        <v>1112</v>
      </c>
      <c r="O644" s="132" t="s">
        <v>2632</v>
      </c>
      <c r="P644" s="132" t="s">
        <v>2624</v>
      </c>
      <c r="Q644" s="132" t="s">
        <v>1108</v>
      </c>
    </row>
    <row r="645" spans="1:17" x14ac:dyDescent="0.2">
      <c r="A645" t="s">
        <v>220</v>
      </c>
      <c r="B645" s="141">
        <f t="shared" si="10"/>
        <v>3.13</v>
      </c>
      <c r="C645" s="280">
        <v>45665</v>
      </c>
      <c r="D645" s="279">
        <v>45666</v>
      </c>
      <c r="E645" s="279">
        <v>45667</v>
      </c>
      <c r="F645" s="132"/>
      <c r="G645" s="132" t="s">
        <v>1383</v>
      </c>
      <c r="H645" s="132" t="s">
        <v>373</v>
      </c>
      <c r="I645" s="132" t="s">
        <v>1100</v>
      </c>
      <c r="J645" s="132" t="s">
        <v>1730</v>
      </c>
      <c r="K645" s="132" t="s">
        <v>1742</v>
      </c>
      <c r="L645" s="132" t="s">
        <v>1743</v>
      </c>
      <c r="M645" s="132" t="s">
        <v>2633</v>
      </c>
      <c r="N645" s="132" t="s">
        <v>1105</v>
      </c>
      <c r="O645" s="132" t="s">
        <v>2634</v>
      </c>
      <c r="P645" s="132" t="s">
        <v>2624</v>
      </c>
      <c r="Q645" s="132" t="s">
        <v>1108</v>
      </c>
    </row>
    <row r="646" spans="1:17" x14ac:dyDescent="0.2">
      <c r="A646" t="s">
        <v>220</v>
      </c>
      <c r="B646" s="141">
        <f t="shared" si="10"/>
        <v>3.11</v>
      </c>
      <c r="C646" s="280">
        <v>45665</v>
      </c>
      <c r="D646" s="279">
        <v>45666</v>
      </c>
      <c r="E646" s="279">
        <v>45667</v>
      </c>
      <c r="F646" s="132"/>
      <c r="G646" s="132" t="s">
        <v>1108</v>
      </c>
      <c r="H646" s="132" t="s">
        <v>373</v>
      </c>
      <c r="I646" s="132" t="s">
        <v>1100</v>
      </c>
      <c r="J646" s="132" t="s">
        <v>1730</v>
      </c>
      <c r="K646" s="132" t="s">
        <v>1731</v>
      </c>
      <c r="L646" s="132" t="s">
        <v>1732</v>
      </c>
      <c r="M646" s="132" t="s">
        <v>2635</v>
      </c>
      <c r="N646" s="132" t="s">
        <v>1112</v>
      </c>
      <c r="O646" s="132" t="s">
        <v>2636</v>
      </c>
      <c r="P646" s="132" t="s">
        <v>2624</v>
      </c>
      <c r="Q646" s="132" t="s">
        <v>1108</v>
      </c>
    </row>
    <row r="647" spans="1:17" x14ac:dyDescent="0.2">
      <c r="A647" t="s">
        <v>220</v>
      </c>
      <c r="B647" s="141">
        <f t="shared" si="10"/>
        <v>3.11</v>
      </c>
      <c r="C647" s="280">
        <v>45665</v>
      </c>
      <c r="D647" s="279">
        <v>45666</v>
      </c>
      <c r="E647" s="279">
        <v>45667</v>
      </c>
      <c r="F647" s="132"/>
      <c r="G647" s="132" t="s">
        <v>1108</v>
      </c>
      <c r="H647" s="132" t="s">
        <v>373</v>
      </c>
      <c r="I647" s="132" t="s">
        <v>1100</v>
      </c>
      <c r="J647" s="132" t="s">
        <v>1730</v>
      </c>
      <c r="K647" s="132" t="s">
        <v>1731</v>
      </c>
      <c r="L647" s="132" t="s">
        <v>1732</v>
      </c>
      <c r="M647" s="132" t="s">
        <v>2637</v>
      </c>
      <c r="N647" s="132" t="s">
        <v>1112</v>
      </c>
      <c r="O647" s="132" t="s">
        <v>2638</v>
      </c>
      <c r="P647" s="132" t="s">
        <v>2624</v>
      </c>
      <c r="Q647" s="132" t="s">
        <v>1108</v>
      </c>
    </row>
    <row r="648" spans="1:17" x14ac:dyDescent="0.2">
      <c r="A648" t="s">
        <v>221</v>
      </c>
      <c r="B648" s="141">
        <f t="shared" si="10"/>
        <v>4.09</v>
      </c>
      <c r="C648" s="280">
        <v>45666</v>
      </c>
      <c r="D648" s="279">
        <v>45666</v>
      </c>
      <c r="E648" s="279">
        <v>45667</v>
      </c>
      <c r="F648" s="132"/>
      <c r="G648" s="132" t="s">
        <v>1108</v>
      </c>
      <c r="H648" s="132" t="s">
        <v>373</v>
      </c>
      <c r="I648" s="132" t="s">
        <v>1100</v>
      </c>
      <c r="J648" s="132" t="s">
        <v>1754</v>
      </c>
      <c r="K648" s="132" t="s">
        <v>1792</v>
      </c>
      <c r="L648" s="132" t="s">
        <v>1793</v>
      </c>
      <c r="M648" s="132" t="s">
        <v>2639</v>
      </c>
      <c r="N648" s="132" t="s">
        <v>1112</v>
      </c>
      <c r="O648" s="132" t="s">
        <v>2640</v>
      </c>
      <c r="P648" s="132" t="s">
        <v>2624</v>
      </c>
      <c r="Q648" s="132" t="s">
        <v>1108</v>
      </c>
    </row>
    <row r="649" spans="1:17" x14ac:dyDescent="0.2">
      <c r="A649" t="s">
        <v>220</v>
      </c>
      <c r="B649" s="141">
        <f t="shared" si="10"/>
        <v>3.13</v>
      </c>
      <c r="C649" s="280">
        <v>45666</v>
      </c>
      <c r="D649" s="279">
        <v>45667</v>
      </c>
      <c r="E649" s="279">
        <v>45667</v>
      </c>
      <c r="F649" s="132"/>
      <c r="G649" s="132" t="s">
        <v>2130</v>
      </c>
      <c r="H649" s="132" t="s">
        <v>373</v>
      </c>
      <c r="I649" s="132" t="s">
        <v>1100</v>
      </c>
      <c r="J649" s="132" t="s">
        <v>1730</v>
      </c>
      <c r="K649" s="132" t="s">
        <v>1742</v>
      </c>
      <c r="L649" s="132" t="s">
        <v>1743</v>
      </c>
      <c r="M649" s="132" t="s">
        <v>2641</v>
      </c>
      <c r="N649" s="132" t="s">
        <v>1105</v>
      </c>
      <c r="O649" s="132" t="s">
        <v>2642</v>
      </c>
      <c r="P649" s="132" t="s">
        <v>2624</v>
      </c>
      <c r="Q649" s="132" t="s">
        <v>1108</v>
      </c>
    </row>
    <row r="650" spans="1:17" x14ac:dyDescent="0.2">
      <c r="A650" t="s">
        <v>220</v>
      </c>
      <c r="B650" s="141">
        <f t="shared" si="10"/>
        <v>3.13</v>
      </c>
      <c r="C650" s="280">
        <v>45666</v>
      </c>
      <c r="D650" s="279">
        <v>45667</v>
      </c>
      <c r="E650" s="279">
        <v>45667</v>
      </c>
      <c r="F650" s="132"/>
      <c r="G650" s="132" t="s">
        <v>2643</v>
      </c>
      <c r="H650" s="132" t="s">
        <v>373</v>
      </c>
      <c r="I650" s="132" t="s">
        <v>1100</v>
      </c>
      <c r="J650" s="132" t="s">
        <v>1730</v>
      </c>
      <c r="K650" s="132" t="s">
        <v>1742</v>
      </c>
      <c r="L650" s="132" t="s">
        <v>1743</v>
      </c>
      <c r="M650" s="132" t="s">
        <v>2644</v>
      </c>
      <c r="N650" s="132" t="s">
        <v>1105</v>
      </c>
      <c r="O650" s="132" t="s">
        <v>2645</v>
      </c>
      <c r="P650" s="132" t="s">
        <v>2624</v>
      </c>
      <c r="Q650" s="132" t="s">
        <v>1108</v>
      </c>
    </row>
    <row r="651" spans="1:17" x14ac:dyDescent="0.2">
      <c r="A651" t="s">
        <v>220</v>
      </c>
      <c r="B651" s="141">
        <f t="shared" si="10"/>
        <v>7.55</v>
      </c>
      <c r="C651" s="280">
        <v>45666</v>
      </c>
      <c r="D651" s="279">
        <v>45667</v>
      </c>
      <c r="E651" s="279">
        <v>45667</v>
      </c>
      <c r="F651" s="132"/>
      <c r="G651" s="132" t="s">
        <v>1463</v>
      </c>
      <c r="H651" s="132" t="s">
        <v>373</v>
      </c>
      <c r="I651" s="132" t="s">
        <v>1100</v>
      </c>
      <c r="J651" s="132" t="s">
        <v>1949</v>
      </c>
      <c r="K651" s="132" t="s">
        <v>1950</v>
      </c>
      <c r="L651" s="132" t="s">
        <v>1951</v>
      </c>
      <c r="M651" s="132" t="s">
        <v>2646</v>
      </c>
      <c r="N651" s="132" t="s">
        <v>1105</v>
      </c>
      <c r="O651" s="132" t="s">
        <v>2647</v>
      </c>
      <c r="P651" s="132" t="s">
        <v>2624</v>
      </c>
      <c r="Q651" s="132" t="s">
        <v>1108</v>
      </c>
    </row>
    <row r="652" spans="1:17" x14ac:dyDescent="0.2">
      <c r="A652" t="s">
        <v>220</v>
      </c>
      <c r="B652" s="141">
        <f t="shared" si="10"/>
        <v>3.13</v>
      </c>
      <c r="C652" s="280">
        <v>45666</v>
      </c>
      <c r="D652" s="279">
        <v>45667</v>
      </c>
      <c r="E652" s="279">
        <v>45667</v>
      </c>
      <c r="F652" s="132"/>
      <c r="G652" s="132" t="s">
        <v>2648</v>
      </c>
      <c r="H652" s="132" t="s">
        <v>373</v>
      </c>
      <c r="I652" s="132" t="s">
        <v>1100</v>
      </c>
      <c r="J652" s="132" t="s">
        <v>1730</v>
      </c>
      <c r="K652" s="132" t="s">
        <v>1742</v>
      </c>
      <c r="L652" s="132" t="s">
        <v>1743</v>
      </c>
      <c r="M652" s="132" t="s">
        <v>2649</v>
      </c>
      <c r="N652" s="132" t="s">
        <v>1105</v>
      </c>
      <c r="O652" s="132" t="s">
        <v>2650</v>
      </c>
      <c r="P652" s="132" t="s">
        <v>2624</v>
      </c>
      <c r="Q652" s="132" t="s">
        <v>1108</v>
      </c>
    </row>
    <row r="653" spans="1:17" x14ac:dyDescent="0.2">
      <c r="A653" t="s">
        <v>220</v>
      </c>
      <c r="B653" s="141">
        <f t="shared" si="10"/>
        <v>3.13</v>
      </c>
      <c r="C653" s="280">
        <v>45666</v>
      </c>
      <c r="D653" s="279">
        <v>45667</v>
      </c>
      <c r="E653" s="279">
        <v>45667</v>
      </c>
      <c r="F653" s="132"/>
      <c r="G653" s="132" t="s">
        <v>1449</v>
      </c>
      <c r="H653" s="132" t="s">
        <v>373</v>
      </c>
      <c r="I653" s="132" t="s">
        <v>1100</v>
      </c>
      <c r="J653" s="132" t="s">
        <v>1730</v>
      </c>
      <c r="K653" s="132" t="s">
        <v>1742</v>
      </c>
      <c r="L653" s="132" t="s">
        <v>1743</v>
      </c>
      <c r="M653" s="132" t="s">
        <v>2651</v>
      </c>
      <c r="N653" s="132" t="s">
        <v>1105</v>
      </c>
      <c r="O653" s="132" t="s">
        <v>2652</v>
      </c>
      <c r="P653" s="132" t="s">
        <v>2624</v>
      </c>
      <c r="Q653" s="132" t="s">
        <v>1108</v>
      </c>
    </row>
    <row r="654" spans="1:17" x14ac:dyDescent="0.2">
      <c r="A654" t="s">
        <v>220</v>
      </c>
      <c r="B654" s="141">
        <f t="shared" si="10"/>
        <v>3.11</v>
      </c>
      <c r="C654" s="280">
        <v>45666</v>
      </c>
      <c r="D654" s="279">
        <v>45666</v>
      </c>
      <c r="E654" s="279">
        <v>45667</v>
      </c>
      <c r="F654" s="132"/>
      <c r="G654" s="132" t="s">
        <v>1108</v>
      </c>
      <c r="H654" s="132" t="s">
        <v>373</v>
      </c>
      <c r="I654" s="132" t="s">
        <v>1100</v>
      </c>
      <c r="J654" s="132" t="s">
        <v>1730</v>
      </c>
      <c r="K654" s="132" t="s">
        <v>1731</v>
      </c>
      <c r="L654" s="132" t="s">
        <v>1732</v>
      </c>
      <c r="M654" s="132" t="s">
        <v>2653</v>
      </c>
      <c r="N654" s="132" t="s">
        <v>1112</v>
      </c>
      <c r="O654" s="132" t="s">
        <v>2654</v>
      </c>
      <c r="P654" s="132" t="s">
        <v>2624</v>
      </c>
      <c r="Q654" s="132" t="s">
        <v>1108</v>
      </c>
    </row>
    <row r="655" spans="1:17" x14ac:dyDescent="0.2">
      <c r="A655" t="s">
        <v>220</v>
      </c>
      <c r="B655" s="141">
        <f t="shared" si="10"/>
        <v>3.13</v>
      </c>
      <c r="C655" s="280">
        <v>45666</v>
      </c>
      <c r="D655" s="279">
        <v>45666</v>
      </c>
      <c r="E655" s="279">
        <v>45667</v>
      </c>
      <c r="F655" s="132"/>
      <c r="G655" s="132" t="s">
        <v>1108</v>
      </c>
      <c r="H655" s="132" t="s">
        <v>373</v>
      </c>
      <c r="I655" s="132" t="s">
        <v>1100</v>
      </c>
      <c r="J655" s="132" t="s">
        <v>1730</v>
      </c>
      <c r="K655" s="132" t="s">
        <v>1742</v>
      </c>
      <c r="L655" s="132" t="s">
        <v>1743</v>
      </c>
      <c r="M655" s="132" t="s">
        <v>2655</v>
      </c>
      <c r="N655" s="132" t="s">
        <v>1117</v>
      </c>
      <c r="O655" s="132" t="s">
        <v>2656</v>
      </c>
      <c r="P655" s="132" t="s">
        <v>2624</v>
      </c>
      <c r="Q655" s="132" t="s">
        <v>1108</v>
      </c>
    </row>
    <row r="656" spans="1:17" x14ac:dyDescent="0.2">
      <c r="A656" t="s">
        <v>221</v>
      </c>
      <c r="B656" s="141">
        <f t="shared" si="10"/>
        <v>16.38</v>
      </c>
      <c r="C656" s="280">
        <v>45666</v>
      </c>
      <c r="D656" s="279">
        <v>45667</v>
      </c>
      <c r="E656" s="279">
        <v>45668</v>
      </c>
      <c r="F656" s="132"/>
      <c r="G656" s="132" t="s">
        <v>1108</v>
      </c>
      <c r="H656" s="132" t="s">
        <v>373</v>
      </c>
      <c r="I656" s="132" t="s">
        <v>1100</v>
      </c>
      <c r="J656" s="132" t="s">
        <v>1199</v>
      </c>
      <c r="K656" s="132" t="s">
        <v>1200</v>
      </c>
      <c r="L656" s="132" t="s">
        <v>1201</v>
      </c>
      <c r="M656" s="132" t="s">
        <v>2657</v>
      </c>
      <c r="N656" s="132" t="s">
        <v>1117</v>
      </c>
      <c r="O656" s="132" t="s">
        <v>2658</v>
      </c>
      <c r="P656" s="132" t="s">
        <v>2659</v>
      </c>
      <c r="Q656" s="132" t="s">
        <v>1108</v>
      </c>
    </row>
    <row r="657" spans="1:17" x14ac:dyDescent="0.2">
      <c r="A657" t="s">
        <v>220</v>
      </c>
      <c r="B657" s="141">
        <f t="shared" si="10"/>
        <v>3.13</v>
      </c>
      <c r="C657" s="280">
        <v>45666</v>
      </c>
      <c r="D657" s="279">
        <v>45667</v>
      </c>
      <c r="E657" s="279">
        <v>45668</v>
      </c>
      <c r="F657" s="132"/>
      <c r="G657" s="132" t="s">
        <v>1108</v>
      </c>
      <c r="H657" s="132" t="s">
        <v>373</v>
      </c>
      <c r="I657" s="132" t="s">
        <v>1100</v>
      </c>
      <c r="J657" s="132" t="s">
        <v>1730</v>
      </c>
      <c r="K657" s="132" t="s">
        <v>1742</v>
      </c>
      <c r="L657" s="132" t="s">
        <v>1743</v>
      </c>
      <c r="M657" s="132" t="s">
        <v>2660</v>
      </c>
      <c r="N657" s="132" t="s">
        <v>1117</v>
      </c>
      <c r="O657" s="132" t="s">
        <v>2661</v>
      </c>
      <c r="P657" s="132" t="s">
        <v>2659</v>
      </c>
      <c r="Q657" s="132" t="s">
        <v>1108</v>
      </c>
    </row>
    <row r="658" spans="1:17" x14ac:dyDescent="0.2">
      <c r="A658" t="s">
        <v>220</v>
      </c>
      <c r="B658" s="141">
        <f t="shared" si="10"/>
        <v>3.13</v>
      </c>
      <c r="C658" s="280">
        <v>45666</v>
      </c>
      <c r="D658" s="279">
        <v>45667</v>
      </c>
      <c r="E658" s="279">
        <v>45668</v>
      </c>
      <c r="F658" s="132"/>
      <c r="G658" s="132" t="s">
        <v>1421</v>
      </c>
      <c r="H658" s="132" t="s">
        <v>373</v>
      </c>
      <c r="I658" s="132" t="s">
        <v>1100</v>
      </c>
      <c r="J658" s="132" t="s">
        <v>1730</v>
      </c>
      <c r="K658" s="132" t="s">
        <v>1742</v>
      </c>
      <c r="L658" s="132" t="s">
        <v>1743</v>
      </c>
      <c r="M658" s="132" t="s">
        <v>2662</v>
      </c>
      <c r="N658" s="132" t="s">
        <v>1105</v>
      </c>
      <c r="O658" s="132" t="s">
        <v>2663</v>
      </c>
      <c r="P658" s="132" t="s">
        <v>2659</v>
      </c>
      <c r="Q658" s="132" t="s">
        <v>1108</v>
      </c>
    </row>
    <row r="659" spans="1:17" x14ac:dyDescent="0.2">
      <c r="A659" t="s">
        <v>221</v>
      </c>
      <c r="B659" s="141">
        <f t="shared" si="10"/>
        <v>4.1100000000000003</v>
      </c>
      <c r="C659" s="280">
        <v>45666</v>
      </c>
      <c r="D659" s="279">
        <v>45667</v>
      </c>
      <c r="E659" s="279">
        <v>45668</v>
      </c>
      <c r="F659" s="132"/>
      <c r="G659" s="132" t="s">
        <v>1108</v>
      </c>
      <c r="H659" s="132" t="s">
        <v>373</v>
      </c>
      <c r="I659" s="132" t="s">
        <v>1100</v>
      </c>
      <c r="J659" s="132" t="s">
        <v>1754</v>
      </c>
      <c r="K659" s="132" t="s">
        <v>1755</v>
      </c>
      <c r="L659" s="132" t="s">
        <v>1756</v>
      </c>
      <c r="M659" s="132" t="s">
        <v>2664</v>
      </c>
      <c r="N659" s="132" t="s">
        <v>1117</v>
      </c>
      <c r="O659" s="132" t="s">
        <v>2665</v>
      </c>
      <c r="P659" s="132" t="s">
        <v>2659</v>
      </c>
      <c r="Q659" s="132" t="s">
        <v>1108</v>
      </c>
    </row>
    <row r="660" spans="1:17" x14ac:dyDescent="0.2">
      <c r="A660" t="s">
        <v>220</v>
      </c>
      <c r="B660" s="141">
        <f t="shared" si="10"/>
        <v>3.13</v>
      </c>
      <c r="C660" s="280">
        <v>45666</v>
      </c>
      <c r="D660" s="279">
        <v>45667</v>
      </c>
      <c r="E660" s="279">
        <v>45668</v>
      </c>
      <c r="F660" s="132"/>
      <c r="G660" s="132" t="s">
        <v>1108</v>
      </c>
      <c r="H660" s="132" t="s">
        <v>373</v>
      </c>
      <c r="I660" s="132" t="s">
        <v>1100</v>
      </c>
      <c r="J660" s="132" t="s">
        <v>1730</v>
      </c>
      <c r="K660" s="132" t="s">
        <v>1742</v>
      </c>
      <c r="L660" s="132" t="s">
        <v>1743</v>
      </c>
      <c r="M660" s="132" t="s">
        <v>2666</v>
      </c>
      <c r="N660" s="132" t="s">
        <v>1117</v>
      </c>
      <c r="O660" s="132" t="s">
        <v>2667</v>
      </c>
      <c r="P660" s="132" t="s">
        <v>2659</v>
      </c>
      <c r="Q660" s="132" t="s">
        <v>1108</v>
      </c>
    </row>
    <row r="661" spans="1:17" x14ac:dyDescent="0.2">
      <c r="A661" t="s">
        <v>181</v>
      </c>
      <c r="B661" s="141">
        <f t="shared" si="10"/>
        <v>1.6600000000000001</v>
      </c>
      <c r="C661" s="280">
        <v>45668</v>
      </c>
      <c r="D661" s="279">
        <v>45669</v>
      </c>
      <c r="E661" s="279">
        <v>45670</v>
      </c>
      <c r="F661" s="132"/>
      <c r="G661" s="132" t="s">
        <v>1108</v>
      </c>
      <c r="H661" s="132" t="s">
        <v>373</v>
      </c>
      <c r="I661" s="132" t="s">
        <v>1100</v>
      </c>
      <c r="J661" s="132" t="s">
        <v>1840</v>
      </c>
      <c r="K661" s="132" t="s">
        <v>1848</v>
      </c>
      <c r="L661" s="132" t="s">
        <v>1849</v>
      </c>
      <c r="M661" s="132" t="s">
        <v>2668</v>
      </c>
      <c r="N661" s="132" t="s">
        <v>1117</v>
      </c>
      <c r="O661" s="132" t="s">
        <v>2669</v>
      </c>
      <c r="P661" s="132" t="s">
        <v>2670</v>
      </c>
      <c r="Q661" s="132" t="s">
        <v>1108</v>
      </c>
    </row>
    <row r="662" spans="1:17" x14ac:dyDescent="0.2">
      <c r="A662" t="s">
        <v>182</v>
      </c>
      <c r="B662" s="141">
        <f t="shared" si="10"/>
        <v>4.6000000000000005</v>
      </c>
      <c r="C662" s="280">
        <v>45668</v>
      </c>
      <c r="D662" s="279">
        <v>45669</v>
      </c>
      <c r="E662" s="279">
        <v>45670</v>
      </c>
      <c r="F662" s="132"/>
      <c r="G662" s="132" t="s">
        <v>1108</v>
      </c>
      <c r="H662" s="132" t="s">
        <v>373</v>
      </c>
      <c r="I662" s="132" t="s">
        <v>1100</v>
      </c>
      <c r="J662" s="132" t="s">
        <v>2671</v>
      </c>
      <c r="K662" s="132" t="s">
        <v>2672</v>
      </c>
      <c r="L662" s="132" t="s">
        <v>2673</v>
      </c>
      <c r="M662" s="132" t="s">
        <v>2674</v>
      </c>
      <c r="N662" s="132" t="s">
        <v>1117</v>
      </c>
      <c r="O662" s="132" t="s">
        <v>2675</v>
      </c>
      <c r="P662" s="132" t="s">
        <v>2670</v>
      </c>
      <c r="Q662" s="132" t="s">
        <v>1108</v>
      </c>
    </row>
    <row r="663" spans="1:17" x14ac:dyDescent="0.2">
      <c r="A663" t="s">
        <v>181</v>
      </c>
      <c r="B663" s="141">
        <f t="shared" si="10"/>
        <v>1.6600000000000001</v>
      </c>
      <c r="C663" s="280">
        <v>45668</v>
      </c>
      <c r="D663" s="279">
        <v>45669</v>
      </c>
      <c r="E663" s="279">
        <v>45670</v>
      </c>
      <c r="F663" s="132"/>
      <c r="G663" s="132" t="s">
        <v>1108</v>
      </c>
      <c r="H663" s="132" t="s">
        <v>373</v>
      </c>
      <c r="I663" s="132" t="s">
        <v>1100</v>
      </c>
      <c r="J663" s="132" t="s">
        <v>1840</v>
      </c>
      <c r="K663" s="132" t="s">
        <v>1848</v>
      </c>
      <c r="L663" s="132" t="s">
        <v>1849</v>
      </c>
      <c r="M663" s="132" t="s">
        <v>2676</v>
      </c>
      <c r="N663" s="132" t="s">
        <v>1117</v>
      </c>
      <c r="O663" s="132" t="s">
        <v>2677</v>
      </c>
      <c r="P663" s="132" t="s">
        <v>2670</v>
      </c>
      <c r="Q663" s="132" t="s">
        <v>1108</v>
      </c>
    </row>
    <row r="664" spans="1:17" x14ac:dyDescent="0.2">
      <c r="A664" t="s">
        <v>181</v>
      </c>
      <c r="B664" s="141">
        <f t="shared" si="10"/>
        <v>1.6600000000000001</v>
      </c>
      <c r="C664" s="280">
        <v>45668</v>
      </c>
      <c r="D664" s="279">
        <v>45669</v>
      </c>
      <c r="E664" s="279">
        <v>45670</v>
      </c>
      <c r="F664" s="132"/>
      <c r="G664" s="132" t="s">
        <v>1108</v>
      </c>
      <c r="H664" s="132" t="s">
        <v>373</v>
      </c>
      <c r="I664" s="132" t="s">
        <v>1100</v>
      </c>
      <c r="J664" s="132" t="s">
        <v>1840</v>
      </c>
      <c r="K664" s="132" t="s">
        <v>1848</v>
      </c>
      <c r="L664" s="132" t="s">
        <v>1849</v>
      </c>
      <c r="M664" s="132" t="s">
        <v>2678</v>
      </c>
      <c r="N664" s="132" t="s">
        <v>1117</v>
      </c>
      <c r="O664" s="132" t="s">
        <v>2679</v>
      </c>
      <c r="P664" s="132" t="s">
        <v>2670</v>
      </c>
      <c r="Q664" s="132" t="s">
        <v>1108</v>
      </c>
    </row>
    <row r="665" spans="1:17" x14ac:dyDescent="0.2">
      <c r="A665" t="s">
        <v>181</v>
      </c>
      <c r="B665" s="141">
        <f t="shared" si="10"/>
        <v>1.6600000000000001</v>
      </c>
      <c r="C665" s="280">
        <v>45668</v>
      </c>
      <c r="D665" s="279">
        <v>45669</v>
      </c>
      <c r="E665" s="279">
        <v>45670</v>
      </c>
      <c r="F665" s="132"/>
      <c r="G665" s="132" t="s">
        <v>1108</v>
      </c>
      <c r="H665" s="132" t="s">
        <v>373</v>
      </c>
      <c r="I665" s="132" t="s">
        <v>1100</v>
      </c>
      <c r="J665" s="132" t="s">
        <v>1840</v>
      </c>
      <c r="K665" s="132" t="s">
        <v>1848</v>
      </c>
      <c r="L665" s="132" t="s">
        <v>1849</v>
      </c>
      <c r="M665" s="281" t="s">
        <v>2680</v>
      </c>
      <c r="N665" s="132" t="s">
        <v>1117</v>
      </c>
      <c r="O665" s="132" t="s">
        <v>2681</v>
      </c>
      <c r="P665" s="132" t="s">
        <v>2670</v>
      </c>
      <c r="Q665" s="132" t="s">
        <v>1108</v>
      </c>
    </row>
    <row r="666" spans="1:17" x14ac:dyDescent="0.2">
      <c r="A666" t="s">
        <v>181</v>
      </c>
      <c r="B666" s="141">
        <f t="shared" si="10"/>
        <v>1.6600000000000001</v>
      </c>
      <c r="C666" s="280">
        <v>45668</v>
      </c>
      <c r="D666" s="279">
        <v>45669</v>
      </c>
      <c r="E666" s="279">
        <v>45670</v>
      </c>
      <c r="F666" s="132"/>
      <c r="G666" s="132" t="s">
        <v>1421</v>
      </c>
      <c r="H666" s="132" t="s">
        <v>373</v>
      </c>
      <c r="I666" s="132" t="s">
        <v>1100</v>
      </c>
      <c r="J666" s="132" t="s">
        <v>1840</v>
      </c>
      <c r="K666" s="132" t="s">
        <v>1848</v>
      </c>
      <c r="L666" s="132" t="s">
        <v>1849</v>
      </c>
      <c r="M666" s="132" t="s">
        <v>2682</v>
      </c>
      <c r="N666" s="132" t="s">
        <v>1105</v>
      </c>
      <c r="O666" s="132" t="s">
        <v>2683</v>
      </c>
      <c r="P666" s="132" t="s">
        <v>2670</v>
      </c>
      <c r="Q666" s="132" t="s">
        <v>1108</v>
      </c>
    </row>
    <row r="667" spans="1:17" x14ac:dyDescent="0.2">
      <c r="A667" t="s">
        <v>181</v>
      </c>
      <c r="B667" s="141">
        <f t="shared" si="10"/>
        <v>1.6600000000000001</v>
      </c>
      <c r="C667" s="280">
        <v>45668</v>
      </c>
      <c r="D667" s="279">
        <v>45669</v>
      </c>
      <c r="E667" s="279">
        <v>45670</v>
      </c>
      <c r="F667" s="132"/>
      <c r="G667" s="132" t="s">
        <v>1449</v>
      </c>
      <c r="H667" s="132" t="s">
        <v>373</v>
      </c>
      <c r="I667" s="132" t="s">
        <v>1100</v>
      </c>
      <c r="J667" s="132" t="s">
        <v>1840</v>
      </c>
      <c r="K667" s="132" t="s">
        <v>1848</v>
      </c>
      <c r="L667" s="132" t="s">
        <v>1849</v>
      </c>
      <c r="M667" s="132" t="s">
        <v>2684</v>
      </c>
      <c r="N667" s="132" t="s">
        <v>1105</v>
      </c>
      <c r="O667" s="132" t="s">
        <v>2685</v>
      </c>
      <c r="P667" s="132" t="s">
        <v>2670</v>
      </c>
      <c r="Q667" s="132" t="s">
        <v>1108</v>
      </c>
    </row>
    <row r="668" spans="1:17" x14ac:dyDescent="0.2">
      <c r="A668" t="s">
        <v>181</v>
      </c>
      <c r="B668" s="141">
        <f t="shared" si="10"/>
        <v>1.6600000000000001</v>
      </c>
      <c r="C668" s="280">
        <v>45668</v>
      </c>
      <c r="D668" s="279">
        <v>45669</v>
      </c>
      <c r="E668" s="279">
        <v>45670</v>
      </c>
      <c r="F668" s="132"/>
      <c r="G668" s="132" t="s">
        <v>1108</v>
      </c>
      <c r="H668" s="132" t="s">
        <v>373</v>
      </c>
      <c r="I668" s="132" t="s">
        <v>1100</v>
      </c>
      <c r="J668" s="132" t="s">
        <v>1840</v>
      </c>
      <c r="K668" s="132" t="s">
        <v>1848</v>
      </c>
      <c r="L668" s="132" t="s">
        <v>1849</v>
      </c>
      <c r="M668" s="132" t="s">
        <v>2686</v>
      </c>
      <c r="N668" s="132" t="s">
        <v>1117</v>
      </c>
      <c r="O668" s="132" t="s">
        <v>2687</v>
      </c>
      <c r="P668" s="132" t="s">
        <v>2670</v>
      </c>
      <c r="Q668" s="132" t="s">
        <v>1108</v>
      </c>
    </row>
    <row r="669" spans="1:17" x14ac:dyDescent="0.2">
      <c r="A669" t="s">
        <v>181</v>
      </c>
      <c r="B669" s="141">
        <f t="shared" si="10"/>
        <v>1.6600000000000001</v>
      </c>
      <c r="C669" s="280">
        <v>45668</v>
      </c>
      <c r="D669" s="279">
        <v>45669</v>
      </c>
      <c r="E669" s="279">
        <v>45670</v>
      </c>
      <c r="F669" s="132"/>
      <c r="G669" s="132" t="s">
        <v>1108</v>
      </c>
      <c r="H669" s="132" t="s">
        <v>373</v>
      </c>
      <c r="I669" s="132" t="s">
        <v>1100</v>
      </c>
      <c r="J669" s="132" t="s">
        <v>1840</v>
      </c>
      <c r="K669" s="132" t="s">
        <v>1848</v>
      </c>
      <c r="L669" s="132" t="s">
        <v>1849</v>
      </c>
      <c r="M669" s="132" t="s">
        <v>2688</v>
      </c>
      <c r="N669" s="132" t="s">
        <v>1117</v>
      </c>
      <c r="O669" s="132" t="s">
        <v>2689</v>
      </c>
      <c r="P669" s="132" t="s">
        <v>2670</v>
      </c>
      <c r="Q669" s="132" t="s">
        <v>1108</v>
      </c>
    </row>
    <row r="670" spans="1:17" x14ac:dyDescent="0.2">
      <c r="A670" t="s">
        <v>181</v>
      </c>
      <c r="B670" s="141">
        <f t="shared" si="10"/>
        <v>1.6600000000000001</v>
      </c>
      <c r="C670" s="280">
        <v>45668</v>
      </c>
      <c r="D670" s="279">
        <v>45669</v>
      </c>
      <c r="E670" s="279">
        <v>45670</v>
      </c>
      <c r="F670" s="132"/>
      <c r="G670" s="132" t="s">
        <v>1108</v>
      </c>
      <c r="H670" s="132" t="s">
        <v>373</v>
      </c>
      <c r="I670" s="132" t="s">
        <v>1100</v>
      </c>
      <c r="J670" s="132" t="s">
        <v>1840</v>
      </c>
      <c r="K670" s="132" t="s">
        <v>1848</v>
      </c>
      <c r="L670" s="132" t="s">
        <v>1849</v>
      </c>
      <c r="M670" s="132" t="s">
        <v>2690</v>
      </c>
      <c r="N670" s="132" t="s">
        <v>1117</v>
      </c>
      <c r="O670" s="132" t="s">
        <v>2691</v>
      </c>
      <c r="P670" s="132" t="s">
        <v>2670</v>
      </c>
      <c r="Q670" s="132" t="s">
        <v>1108</v>
      </c>
    </row>
    <row r="671" spans="1:17" x14ac:dyDescent="0.2">
      <c r="A671" t="s">
        <v>181</v>
      </c>
      <c r="B671" s="141">
        <f t="shared" si="10"/>
        <v>1.6600000000000001</v>
      </c>
      <c r="C671" s="280">
        <v>45668</v>
      </c>
      <c r="D671" s="279">
        <v>45669</v>
      </c>
      <c r="E671" s="279">
        <v>45670</v>
      </c>
      <c r="F671" s="132"/>
      <c r="G671" s="132" t="s">
        <v>1336</v>
      </c>
      <c r="H671" s="132" t="s">
        <v>373</v>
      </c>
      <c r="I671" s="132" t="s">
        <v>1100</v>
      </c>
      <c r="J671" s="132" t="s">
        <v>1840</v>
      </c>
      <c r="K671" s="132" t="s">
        <v>1848</v>
      </c>
      <c r="L671" s="132" t="s">
        <v>1849</v>
      </c>
      <c r="M671" s="132" t="s">
        <v>2692</v>
      </c>
      <c r="N671" s="132" t="s">
        <v>1105</v>
      </c>
      <c r="O671" s="132" t="s">
        <v>2693</v>
      </c>
      <c r="P671" s="132" t="s">
        <v>2670</v>
      </c>
      <c r="Q671" s="132" t="s">
        <v>1108</v>
      </c>
    </row>
    <row r="672" spans="1:17" x14ac:dyDescent="0.2">
      <c r="A672" t="s">
        <v>181</v>
      </c>
      <c r="B672" s="141">
        <f t="shared" si="10"/>
        <v>1.6500000000000001</v>
      </c>
      <c r="C672" s="280">
        <v>45668</v>
      </c>
      <c r="D672" s="279">
        <v>45670</v>
      </c>
      <c r="E672" s="279">
        <v>45671</v>
      </c>
      <c r="F672" s="132"/>
      <c r="G672" s="132" t="s">
        <v>1108</v>
      </c>
      <c r="H672" s="132" t="s">
        <v>373</v>
      </c>
      <c r="I672" s="132" t="s">
        <v>1100</v>
      </c>
      <c r="J672" s="132" t="s">
        <v>1840</v>
      </c>
      <c r="K672" s="132" t="s">
        <v>1841</v>
      </c>
      <c r="L672" s="132" t="s">
        <v>1842</v>
      </c>
      <c r="M672" s="132" t="s">
        <v>2694</v>
      </c>
      <c r="N672" s="132" t="s">
        <v>1112</v>
      </c>
      <c r="O672" s="132" t="s">
        <v>2695</v>
      </c>
      <c r="P672" s="132" t="s">
        <v>2696</v>
      </c>
      <c r="Q672" s="132" t="s">
        <v>1108</v>
      </c>
    </row>
    <row r="673" spans="1:17" x14ac:dyDescent="0.2">
      <c r="A673" t="s">
        <v>181</v>
      </c>
      <c r="B673" s="141">
        <f t="shared" si="10"/>
        <v>1.6500000000000001</v>
      </c>
      <c r="C673" s="280">
        <v>45668</v>
      </c>
      <c r="D673" s="279">
        <v>45670</v>
      </c>
      <c r="E673" s="279">
        <v>45671</v>
      </c>
      <c r="F673" s="132"/>
      <c r="G673" s="132" t="s">
        <v>1108</v>
      </c>
      <c r="H673" s="132" t="s">
        <v>373</v>
      </c>
      <c r="I673" s="132" t="s">
        <v>1100</v>
      </c>
      <c r="J673" s="132" t="s">
        <v>1840</v>
      </c>
      <c r="K673" s="132" t="s">
        <v>1841</v>
      </c>
      <c r="L673" s="132" t="s">
        <v>1842</v>
      </c>
      <c r="M673" s="132" t="s">
        <v>2697</v>
      </c>
      <c r="N673" s="132" t="s">
        <v>1112</v>
      </c>
      <c r="O673" s="132" t="s">
        <v>2698</v>
      </c>
      <c r="P673" s="132" t="s">
        <v>2696</v>
      </c>
      <c r="Q673" s="132" t="s">
        <v>1108</v>
      </c>
    </row>
    <row r="674" spans="1:17" x14ac:dyDescent="0.2">
      <c r="A674" t="s">
        <v>181</v>
      </c>
      <c r="B674" s="141">
        <f t="shared" si="10"/>
        <v>1.6500000000000001</v>
      </c>
      <c r="C674" s="280">
        <v>45668</v>
      </c>
      <c r="D674" s="279">
        <v>45670</v>
      </c>
      <c r="E674" s="279">
        <v>45671</v>
      </c>
      <c r="F674" s="132"/>
      <c r="G674" s="132" t="s">
        <v>1108</v>
      </c>
      <c r="H674" s="132" t="s">
        <v>373</v>
      </c>
      <c r="I674" s="132" t="s">
        <v>1100</v>
      </c>
      <c r="J674" s="132" t="s">
        <v>1840</v>
      </c>
      <c r="K674" s="132" t="s">
        <v>1841</v>
      </c>
      <c r="L674" s="132" t="s">
        <v>1842</v>
      </c>
      <c r="M674" s="132" t="s">
        <v>2699</v>
      </c>
      <c r="N674" s="132" t="s">
        <v>1112</v>
      </c>
      <c r="O674" s="132" t="s">
        <v>2700</v>
      </c>
      <c r="P674" s="132" t="s">
        <v>2696</v>
      </c>
      <c r="Q674" s="132" t="s">
        <v>1108</v>
      </c>
    </row>
    <row r="675" spans="1:17" x14ac:dyDescent="0.2">
      <c r="A675" t="s">
        <v>181</v>
      </c>
      <c r="B675" s="141">
        <f t="shared" si="10"/>
        <v>1.6500000000000001</v>
      </c>
      <c r="C675" s="280">
        <v>45668</v>
      </c>
      <c r="D675" s="279">
        <v>45670</v>
      </c>
      <c r="E675" s="279">
        <v>45671</v>
      </c>
      <c r="F675" s="132"/>
      <c r="G675" s="132" t="s">
        <v>1108</v>
      </c>
      <c r="H675" s="132" t="s">
        <v>373</v>
      </c>
      <c r="I675" s="132" t="s">
        <v>1100</v>
      </c>
      <c r="J675" s="132" t="s">
        <v>1840</v>
      </c>
      <c r="K675" s="132" t="s">
        <v>1841</v>
      </c>
      <c r="L675" s="132" t="s">
        <v>1842</v>
      </c>
      <c r="M675" s="132" t="s">
        <v>2701</v>
      </c>
      <c r="N675" s="132" t="s">
        <v>1112</v>
      </c>
      <c r="O675" s="132" t="s">
        <v>2702</v>
      </c>
      <c r="P675" s="132" t="s">
        <v>2696</v>
      </c>
      <c r="Q675" s="132" t="s">
        <v>1108</v>
      </c>
    </row>
    <row r="676" spans="1:17" x14ac:dyDescent="0.2">
      <c r="A676" t="s">
        <v>181</v>
      </c>
      <c r="B676" s="141">
        <f t="shared" si="10"/>
        <v>1.6600000000000001</v>
      </c>
      <c r="C676" s="280">
        <v>45669</v>
      </c>
      <c r="D676" s="279">
        <v>45670</v>
      </c>
      <c r="E676" s="279">
        <v>45671</v>
      </c>
      <c r="F676" s="132"/>
      <c r="G676" s="132" t="s">
        <v>2284</v>
      </c>
      <c r="H676" s="132" t="s">
        <v>373</v>
      </c>
      <c r="I676" s="132" t="s">
        <v>1100</v>
      </c>
      <c r="J676" s="132" t="s">
        <v>1840</v>
      </c>
      <c r="K676" s="132" t="s">
        <v>1848</v>
      </c>
      <c r="L676" s="132" t="s">
        <v>1849</v>
      </c>
      <c r="M676" s="132" t="s">
        <v>2703</v>
      </c>
      <c r="N676" s="132" t="s">
        <v>1105</v>
      </c>
      <c r="O676" s="132" t="s">
        <v>2704</v>
      </c>
      <c r="P676" s="132" t="s">
        <v>2696</v>
      </c>
      <c r="Q676" s="132" t="s">
        <v>1108</v>
      </c>
    </row>
    <row r="677" spans="1:17" x14ac:dyDescent="0.2">
      <c r="A677" t="s">
        <v>181</v>
      </c>
      <c r="B677" s="141">
        <f t="shared" si="10"/>
        <v>1.6600000000000001</v>
      </c>
      <c r="C677" s="280">
        <v>45670</v>
      </c>
      <c r="D677" s="279">
        <v>45671</v>
      </c>
      <c r="E677" s="279">
        <v>45671</v>
      </c>
      <c r="F677" s="132"/>
      <c r="G677" s="132" t="s">
        <v>1108</v>
      </c>
      <c r="H677" s="132" t="s">
        <v>373</v>
      </c>
      <c r="I677" s="132" t="s">
        <v>1100</v>
      </c>
      <c r="J677" s="132" t="s">
        <v>1840</v>
      </c>
      <c r="K677" s="132" t="s">
        <v>1848</v>
      </c>
      <c r="L677" s="132" t="s">
        <v>1849</v>
      </c>
      <c r="M677" s="132" t="s">
        <v>2705</v>
      </c>
      <c r="N677" s="132" t="s">
        <v>1117</v>
      </c>
      <c r="O677" s="132" t="s">
        <v>2706</v>
      </c>
      <c r="P677" s="132" t="s">
        <v>2696</v>
      </c>
      <c r="Q677" s="132" t="s">
        <v>1108</v>
      </c>
    </row>
    <row r="678" spans="1:17" x14ac:dyDescent="0.2">
      <c r="A678" t="s">
        <v>181</v>
      </c>
      <c r="B678" s="141">
        <f t="shared" si="10"/>
        <v>1.6500000000000001</v>
      </c>
      <c r="C678" s="280">
        <v>45670</v>
      </c>
      <c r="D678" s="279">
        <v>45670</v>
      </c>
      <c r="E678" s="279">
        <v>45671</v>
      </c>
      <c r="F678" s="132"/>
      <c r="G678" s="132" t="s">
        <v>1108</v>
      </c>
      <c r="H678" s="132" t="s">
        <v>373</v>
      </c>
      <c r="I678" s="132" t="s">
        <v>1100</v>
      </c>
      <c r="J678" s="132" t="s">
        <v>1840</v>
      </c>
      <c r="K678" s="132" t="s">
        <v>1841</v>
      </c>
      <c r="L678" s="132" t="s">
        <v>1842</v>
      </c>
      <c r="M678" s="132" t="s">
        <v>2707</v>
      </c>
      <c r="N678" s="132" t="s">
        <v>1112</v>
      </c>
      <c r="O678" s="132" t="s">
        <v>2708</v>
      </c>
      <c r="P678" s="132" t="s">
        <v>2696</v>
      </c>
      <c r="Q678" s="132" t="s">
        <v>1108</v>
      </c>
    </row>
    <row r="679" spans="1:17" x14ac:dyDescent="0.2">
      <c r="A679" t="s">
        <v>181</v>
      </c>
      <c r="B679" s="141">
        <f t="shared" si="10"/>
        <v>1.6500000000000001</v>
      </c>
      <c r="C679" s="280">
        <v>45670</v>
      </c>
      <c r="D679" s="279">
        <v>45670</v>
      </c>
      <c r="E679" s="279">
        <v>45671</v>
      </c>
      <c r="F679" s="132"/>
      <c r="G679" s="132" t="s">
        <v>1108</v>
      </c>
      <c r="H679" s="132" t="s">
        <v>373</v>
      </c>
      <c r="I679" s="132" t="s">
        <v>1100</v>
      </c>
      <c r="J679" s="132" t="s">
        <v>1840</v>
      </c>
      <c r="K679" s="132" t="s">
        <v>1841</v>
      </c>
      <c r="L679" s="132" t="s">
        <v>1842</v>
      </c>
      <c r="M679" s="132" t="s">
        <v>2709</v>
      </c>
      <c r="N679" s="132" t="s">
        <v>1112</v>
      </c>
      <c r="O679" s="132" t="s">
        <v>2710</v>
      </c>
      <c r="P679" s="132" t="s">
        <v>2696</v>
      </c>
      <c r="Q679" s="132" t="s">
        <v>1108</v>
      </c>
    </row>
    <row r="680" spans="1:17" x14ac:dyDescent="0.2">
      <c r="A680" t="s">
        <v>181</v>
      </c>
      <c r="B680" s="141">
        <f t="shared" si="10"/>
        <v>1.6500000000000001</v>
      </c>
      <c r="C680" s="280">
        <v>45670</v>
      </c>
      <c r="D680" s="279">
        <v>45670</v>
      </c>
      <c r="E680" s="279">
        <v>45671</v>
      </c>
      <c r="F680" s="132"/>
      <c r="G680" s="132" t="s">
        <v>1108</v>
      </c>
      <c r="H680" s="132" t="s">
        <v>373</v>
      </c>
      <c r="I680" s="132" t="s">
        <v>1100</v>
      </c>
      <c r="J680" s="132" t="s">
        <v>1840</v>
      </c>
      <c r="K680" s="132" t="s">
        <v>1841</v>
      </c>
      <c r="L680" s="132" t="s">
        <v>1842</v>
      </c>
      <c r="M680" s="132" t="s">
        <v>2711</v>
      </c>
      <c r="N680" s="132" t="s">
        <v>1112</v>
      </c>
      <c r="O680" s="132" t="s">
        <v>2712</v>
      </c>
      <c r="P680" s="132" t="s">
        <v>2696</v>
      </c>
      <c r="Q680" s="132" t="s">
        <v>1108</v>
      </c>
    </row>
    <row r="681" spans="1:17" x14ac:dyDescent="0.2">
      <c r="A681" t="s">
        <v>181</v>
      </c>
      <c r="B681" s="141">
        <f t="shared" si="10"/>
        <v>1.6500000000000001</v>
      </c>
      <c r="C681" s="280">
        <v>45670</v>
      </c>
      <c r="D681" s="279">
        <v>45670</v>
      </c>
      <c r="E681" s="279">
        <v>45671</v>
      </c>
      <c r="F681" s="132"/>
      <c r="G681" s="132" t="s">
        <v>1108</v>
      </c>
      <c r="H681" s="132" t="s">
        <v>373</v>
      </c>
      <c r="I681" s="132" t="s">
        <v>1100</v>
      </c>
      <c r="J681" s="132" t="s">
        <v>1840</v>
      </c>
      <c r="K681" s="132" t="s">
        <v>1841</v>
      </c>
      <c r="L681" s="132" t="s">
        <v>1842</v>
      </c>
      <c r="M681" s="132" t="s">
        <v>2713</v>
      </c>
      <c r="N681" s="132" t="s">
        <v>1112</v>
      </c>
      <c r="O681" s="132" t="s">
        <v>2714</v>
      </c>
      <c r="P681" s="132" t="s">
        <v>2696</v>
      </c>
      <c r="Q681" s="132" t="s">
        <v>1108</v>
      </c>
    </row>
    <row r="682" spans="1:17" x14ac:dyDescent="0.2">
      <c r="A682" t="s">
        <v>181</v>
      </c>
      <c r="B682" s="141">
        <f t="shared" si="10"/>
        <v>1.6600000000000001</v>
      </c>
      <c r="C682" s="280">
        <v>45670</v>
      </c>
      <c r="D682" s="279">
        <v>45670</v>
      </c>
      <c r="E682" s="279">
        <v>45671</v>
      </c>
      <c r="F682" s="132"/>
      <c r="G682" s="132" t="s">
        <v>1108</v>
      </c>
      <c r="H682" s="132" t="s">
        <v>373</v>
      </c>
      <c r="I682" s="132" t="s">
        <v>1100</v>
      </c>
      <c r="J682" s="132" t="s">
        <v>1840</v>
      </c>
      <c r="K682" s="132" t="s">
        <v>1848</v>
      </c>
      <c r="L682" s="132" t="s">
        <v>1849</v>
      </c>
      <c r="M682" s="132" t="s">
        <v>2715</v>
      </c>
      <c r="N682" s="132" t="s">
        <v>1117</v>
      </c>
      <c r="O682" s="132" t="s">
        <v>2716</v>
      </c>
      <c r="P682" s="132" t="s">
        <v>2696</v>
      </c>
      <c r="Q682" s="132" t="s">
        <v>1108</v>
      </c>
    </row>
    <row r="683" spans="1:17" x14ac:dyDescent="0.2">
      <c r="A683" t="s">
        <v>181</v>
      </c>
      <c r="B683" s="141">
        <f t="shared" si="10"/>
        <v>1.6600000000000001</v>
      </c>
      <c r="C683" s="280">
        <v>45670</v>
      </c>
      <c r="D683" s="279">
        <v>45672</v>
      </c>
      <c r="E683" s="279">
        <v>45672</v>
      </c>
      <c r="F683" s="132"/>
      <c r="G683" s="132" t="s">
        <v>1813</v>
      </c>
      <c r="H683" s="132" t="s">
        <v>373</v>
      </c>
      <c r="I683" s="132" t="s">
        <v>1100</v>
      </c>
      <c r="J683" s="132" t="s">
        <v>1840</v>
      </c>
      <c r="K683" s="132" t="s">
        <v>1848</v>
      </c>
      <c r="L683" s="132" t="s">
        <v>1849</v>
      </c>
      <c r="M683" s="132" t="s">
        <v>2717</v>
      </c>
      <c r="N683" s="132" t="s">
        <v>1105</v>
      </c>
      <c r="O683" s="132" t="s">
        <v>2718</v>
      </c>
      <c r="P683" s="132" t="s">
        <v>2719</v>
      </c>
      <c r="Q683" s="132" t="s">
        <v>1108</v>
      </c>
    </row>
    <row r="684" spans="1:17" x14ac:dyDescent="0.2">
      <c r="A684" t="s">
        <v>181</v>
      </c>
      <c r="B684" s="141">
        <f t="shared" si="10"/>
        <v>1.6500000000000001</v>
      </c>
      <c r="C684" s="280">
        <v>45670</v>
      </c>
      <c r="D684" s="279">
        <v>45671</v>
      </c>
      <c r="E684" s="279">
        <v>45672</v>
      </c>
      <c r="F684" s="132"/>
      <c r="G684" s="132" t="s">
        <v>1108</v>
      </c>
      <c r="H684" s="132" t="s">
        <v>373</v>
      </c>
      <c r="I684" s="132" t="s">
        <v>1100</v>
      </c>
      <c r="J684" s="132" t="s">
        <v>1840</v>
      </c>
      <c r="K684" s="132" t="s">
        <v>1841</v>
      </c>
      <c r="L684" s="132" t="s">
        <v>1842</v>
      </c>
      <c r="M684" s="132" t="s">
        <v>2720</v>
      </c>
      <c r="N684" s="132" t="s">
        <v>1112</v>
      </c>
      <c r="O684" s="132" t="s">
        <v>2721</v>
      </c>
      <c r="P684" s="132" t="s">
        <v>2719</v>
      </c>
      <c r="Q684" s="132" t="s">
        <v>1108</v>
      </c>
    </row>
    <row r="685" spans="1:17" x14ac:dyDescent="0.2">
      <c r="A685" t="s">
        <v>181</v>
      </c>
      <c r="B685" s="141">
        <f t="shared" si="10"/>
        <v>1.6500000000000001</v>
      </c>
      <c r="C685" s="280">
        <v>45670</v>
      </c>
      <c r="D685" s="279">
        <v>45671</v>
      </c>
      <c r="E685" s="279">
        <v>45672</v>
      </c>
      <c r="F685" s="132"/>
      <c r="G685" s="132" t="s">
        <v>1108</v>
      </c>
      <c r="H685" s="132" t="s">
        <v>373</v>
      </c>
      <c r="I685" s="132" t="s">
        <v>1100</v>
      </c>
      <c r="J685" s="132" t="s">
        <v>1840</v>
      </c>
      <c r="K685" s="132" t="s">
        <v>1841</v>
      </c>
      <c r="L685" s="132" t="s">
        <v>1842</v>
      </c>
      <c r="M685" s="132" t="s">
        <v>2722</v>
      </c>
      <c r="N685" s="132" t="s">
        <v>1112</v>
      </c>
      <c r="O685" s="132" t="s">
        <v>2723</v>
      </c>
      <c r="P685" s="132" t="s">
        <v>2719</v>
      </c>
      <c r="Q685" s="132" t="s">
        <v>1108</v>
      </c>
    </row>
    <row r="686" spans="1:17" x14ac:dyDescent="0.2">
      <c r="A686" t="s">
        <v>181</v>
      </c>
      <c r="B686" s="141">
        <f t="shared" si="10"/>
        <v>1.6500000000000001</v>
      </c>
      <c r="C686" s="280">
        <v>45670</v>
      </c>
      <c r="D686" s="279">
        <v>45671</v>
      </c>
      <c r="E686" s="279">
        <v>45672</v>
      </c>
      <c r="F686" s="132"/>
      <c r="G686" s="132" t="s">
        <v>1108</v>
      </c>
      <c r="H686" s="132" t="s">
        <v>373</v>
      </c>
      <c r="I686" s="132" t="s">
        <v>1100</v>
      </c>
      <c r="J686" s="132" t="s">
        <v>1840</v>
      </c>
      <c r="K686" s="132" t="s">
        <v>1841</v>
      </c>
      <c r="L686" s="132" t="s">
        <v>1842</v>
      </c>
      <c r="M686" s="132" t="s">
        <v>2724</v>
      </c>
      <c r="N686" s="132" t="s">
        <v>1112</v>
      </c>
      <c r="O686" s="132" t="s">
        <v>2725</v>
      </c>
      <c r="P686" s="132" t="s">
        <v>2719</v>
      </c>
      <c r="Q686" s="132" t="s">
        <v>1108</v>
      </c>
    </row>
    <row r="687" spans="1:17" x14ac:dyDescent="0.2">
      <c r="A687" t="s">
        <v>181</v>
      </c>
      <c r="B687" s="141">
        <f t="shared" si="10"/>
        <v>1.6600000000000001</v>
      </c>
      <c r="C687" s="280">
        <v>45670</v>
      </c>
      <c r="D687" s="279">
        <v>45671</v>
      </c>
      <c r="E687" s="279">
        <v>45672</v>
      </c>
      <c r="F687" s="132"/>
      <c r="G687" s="132" t="s">
        <v>1108</v>
      </c>
      <c r="H687" s="132" t="s">
        <v>373</v>
      </c>
      <c r="I687" s="132" t="s">
        <v>1100</v>
      </c>
      <c r="J687" s="132" t="s">
        <v>1840</v>
      </c>
      <c r="K687" s="132" t="s">
        <v>1848</v>
      </c>
      <c r="L687" s="132" t="s">
        <v>1849</v>
      </c>
      <c r="M687" s="132" t="s">
        <v>2726</v>
      </c>
      <c r="N687" s="132" t="s">
        <v>1117</v>
      </c>
      <c r="O687" s="132" t="s">
        <v>2727</v>
      </c>
      <c r="P687" s="132" t="s">
        <v>2719</v>
      </c>
      <c r="Q687" s="132" t="s">
        <v>1108</v>
      </c>
    </row>
    <row r="688" spans="1:17" x14ac:dyDescent="0.2">
      <c r="A688" t="s">
        <v>181</v>
      </c>
      <c r="B688" s="141">
        <f t="shared" si="10"/>
        <v>1.6600000000000001</v>
      </c>
      <c r="C688" s="280">
        <v>45670</v>
      </c>
      <c r="D688" s="279">
        <v>45671</v>
      </c>
      <c r="E688" s="279">
        <v>45672</v>
      </c>
      <c r="F688" s="132"/>
      <c r="G688" s="132" t="s">
        <v>1712</v>
      </c>
      <c r="H688" s="132" t="s">
        <v>373</v>
      </c>
      <c r="I688" s="132" t="s">
        <v>1100</v>
      </c>
      <c r="J688" s="132" t="s">
        <v>1840</v>
      </c>
      <c r="K688" s="132" t="s">
        <v>1848</v>
      </c>
      <c r="L688" s="132" t="s">
        <v>1849</v>
      </c>
      <c r="M688" s="132" t="s">
        <v>2728</v>
      </c>
      <c r="N688" s="132" t="s">
        <v>1105</v>
      </c>
      <c r="O688" s="281" t="s">
        <v>2729</v>
      </c>
      <c r="P688" s="132" t="s">
        <v>2719</v>
      </c>
      <c r="Q688" s="132" t="s">
        <v>1108</v>
      </c>
    </row>
    <row r="689" spans="1:17" x14ac:dyDescent="0.2">
      <c r="A689" t="s">
        <v>181</v>
      </c>
      <c r="B689" s="141">
        <f t="shared" si="10"/>
        <v>1.6600000000000001</v>
      </c>
      <c r="C689" s="280">
        <v>45671</v>
      </c>
      <c r="D689" s="279">
        <v>45672</v>
      </c>
      <c r="E689" s="279">
        <v>45672</v>
      </c>
      <c r="F689" s="132"/>
      <c r="G689" s="132" t="s">
        <v>1108</v>
      </c>
      <c r="H689" s="132" t="s">
        <v>373</v>
      </c>
      <c r="I689" s="132" t="s">
        <v>1100</v>
      </c>
      <c r="J689" s="132" t="s">
        <v>1840</v>
      </c>
      <c r="K689" s="132" t="s">
        <v>1848</v>
      </c>
      <c r="L689" s="132" t="s">
        <v>1849</v>
      </c>
      <c r="M689" s="132" t="s">
        <v>2730</v>
      </c>
      <c r="N689" s="132" t="s">
        <v>1117</v>
      </c>
      <c r="O689" s="132" t="s">
        <v>2731</v>
      </c>
      <c r="P689" s="132" t="s">
        <v>2719</v>
      </c>
      <c r="Q689" s="132" t="s">
        <v>1108</v>
      </c>
    </row>
    <row r="690" spans="1:17" x14ac:dyDescent="0.2">
      <c r="A690" t="s">
        <v>181</v>
      </c>
      <c r="B690" s="141">
        <f t="shared" si="10"/>
        <v>1.6500000000000001</v>
      </c>
      <c r="C690" s="280">
        <v>45671</v>
      </c>
      <c r="D690" s="279">
        <v>45671</v>
      </c>
      <c r="E690" s="279">
        <v>45672</v>
      </c>
      <c r="F690" s="132"/>
      <c r="G690" s="132" t="s">
        <v>1108</v>
      </c>
      <c r="H690" s="132" t="s">
        <v>373</v>
      </c>
      <c r="I690" s="132" t="s">
        <v>1100</v>
      </c>
      <c r="J690" s="132" t="s">
        <v>1840</v>
      </c>
      <c r="K690" s="132" t="s">
        <v>1841</v>
      </c>
      <c r="L690" s="132" t="s">
        <v>1842</v>
      </c>
      <c r="M690" s="132" t="s">
        <v>2732</v>
      </c>
      <c r="N690" s="132" t="s">
        <v>1112</v>
      </c>
      <c r="O690" s="132" t="s">
        <v>2733</v>
      </c>
      <c r="P690" s="132" t="s">
        <v>2719</v>
      </c>
      <c r="Q690" s="132" t="s">
        <v>1108</v>
      </c>
    </row>
    <row r="691" spans="1:17" x14ac:dyDescent="0.2">
      <c r="A691" t="s">
        <v>181</v>
      </c>
      <c r="B691" s="141">
        <f t="shared" si="10"/>
        <v>1.6500000000000001</v>
      </c>
      <c r="C691" s="280">
        <v>45671</v>
      </c>
      <c r="D691" s="279">
        <v>45671</v>
      </c>
      <c r="E691" s="279">
        <v>45672</v>
      </c>
      <c r="F691" s="132"/>
      <c r="G691" s="132" t="s">
        <v>1108</v>
      </c>
      <c r="H691" s="132" t="s">
        <v>373</v>
      </c>
      <c r="I691" s="132" t="s">
        <v>1100</v>
      </c>
      <c r="J691" s="132" t="s">
        <v>1840</v>
      </c>
      <c r="K691" s="132" t="s">
        <v>1841</v>
      </c>
      <c r="L691" s="132" t="s">
        <v>1842</v>
      </c>
      <c r="M691" s="132" t="s">
        <v>2734</v>
      </c>
      <c r="N691" s="132" t="s">
        <v>1112</v>
      </c>
      <c r="O691" s="132" t="s">
        <v>2735</v>
      </c>
      <c r="P691" s="132" t="s">
        <v>2719</v>
      </c>
      <c r="Q691" s="132" t="s">
        <v>1108</v>
      </c>
    </row>
    <row r="692" spans="1:17" x14ac:dyDescent="0.2">
      <c r="A692" t="s">
        <v>181</v>
      </c>
      <c r="B692" s="141">
        <f t="shared" si="10"/>
        <v>1.6600000000000001</v>
      </c>
      <c r="C692" s="280">
        <v>45671</v>
      </c>
      <c r="D692" s="279">
        <v>45672</v>
      </c>
      <c r="E692" s="279">
        <v>45672</v>
      </c>
      <c r="F692" s="132"/>
      <c r="G692" s="132" t="s">
        <v>2057</v>
      </c>
      <c r="H692" s="132" t="s">
        <v>373</v>
      </c>
      <c r="I692" s="132" t="s">
        <v>1100</v>
      </c>
      <c r="J692" s="132" t="s">
        <v>1840</v>
      </c>
      <c r="K692" s="132" t="s">
        <v>1848</v>
      </c>
      <c r="L692" s="132" t="s">
        <v>1849</v>
      </c>
      <c r="M692" s="132" t="s">
        <v>2736</v>
      </c>
      <c r="N692" s="132" t="s">
        <v>1105</v>
      </c>
      <c r="O692" s="132" t="s">
        <v>2737</v>
      </c>
      <c r="P692" s="132" t="s">
        <v>2719</v>
      </c>
      <c r="Q692" s="132" t="s">
        <v>1108</v>
      </c>
    </row>
    <row r="693" spans="1:17" x14ac:dyDescent="0.2">
      <c r="A693" t="s">
        <v>181</v>
      </c>
      <c r="B693" s="141">
        <f t="shared" si="10"/>
        <v>1.6500000000000001</v>
      </c>
      <c r="C693" s="280">
        <v>45671</v>
      </c>
      <c r="D693" s="279">
        <v>45671</v>
      </c>
      <c r="E693" s="279">
        <v>45672</v>
      </c>
      <c r="F693" s="132"/>
      <c r="G693" s="132" t="s">
        <v>1108</v>
      </c>
      <c r="H693" s="132" t="s">
        <v>373</v>
      </c>
      <c r="I693" s="132" t="s">
        <v>1100</v>
      </c>
      <c r="J693" s="132" t="s">
        <v>1840</v>
      </c>
      <c r="K693" s="132" t="s">
        <v>1841</v>
      </c>
      <c r="L693" s="132" t="s">
        <v>1842</v>
      </c>
      <c r="M693" s="132" t="s">
        <v>2738</v>
      </c>
      <c r="N693" s="132" t="s">
        <v>1112</v>
      </c>
      <c r="O693" s="132" t="s">
        <v>2739</v>
      </c>
      <c r="P693" s="132" t="s">
        <v>2719</v>
      </c>
      <c r="Q693" s="132" t="s">
        <v>1108</v>
      </c>
    </row>
    <row r="694" spans="1:17" x14ac:dyDescent="0.2">
      <c r="A694" t="s">
        <v>182</v>
      </c>
      <c r="B694" s="141">
        <f t="shared" si="10"/>
        <v>4.57</v>
      </c>
      <c r="C694" s="280">
        <v>45671</v>
      </c>
      <c r="D694" s="279">
        <v>45672</v>
      </c>
      <c r="E694" s="279">
        <v>45673</v>
      </c>
      <c r="F694" s="132"/>
      <c r="G694" s="132" t="s">
        <v>1108</v>
      </c>
      <c r="H694" s="132" t="s">
        <v>373</v>
      </c>
      <c r="I694" s="132" t="s">
        <v>1100</v>
      </c>
      <c r="J694" s="132" t="s">
        <v>2671</v>
      </c>
      <c r="K694" s="132" t="s">
        <v>1927</v>
      </c>
      <c r="L694" s="132" t="s">
        <v>2740</v>
      </c>
      <c r="M694" s="132" t="s">
        <v>2741</v>
      </c>
      <c r="N694" s="132" t="s">
        <v>1112</v>
      </c>
      <c r="O694" s="132" t="s">
        <v>2742</v>
      </c>
      <c r="P694" s="132" t="s">
        <v>2743</v>
      </c>
      <c r="Q694" s="132" t="s">
        <v>1108</v>
      </c>
    </row>
    <row r="695" spans="1:17" x14ac:dyDescent="0.2">
      <c r="A695" t="s">
        <v>182</v>
      </c>
      <c r="B695" s="141">
        <f t="shared" ref="B695:B758" si="11">_xlfn.NUMBERVALUE(L695)*0.01</f>
        <v>4.57</v>
      </c>
      <c r="C695" s="280">
        <v>45671</v>
      </c>
      <c r="D695" s="279">
        <v>45672</v>
      </c>
      <c r="E695" s="279">
        <v>45673</v>
      </c>
      <c r="F695" s="132"/>
      <c r="G695" s="132" t="s">
        <v>1108</v>
      </c>
      <c r="H695" s="132" t="s">
        <v>373</v>
      </c>
      <c r="I695" s="132" t="s">
        <v>1100</v>
      </c>
      <c r="J695" s="132" t="s">
        <v>2671</v>
      </c>
      <c r="K695" s="132" t="s">
        <v>1927</v>
      </c>
      <c r="L695" s="132" t="s">
        <v>2740</v>
      </c>
      <c r="M695" s="132" t="s">
        <v>2744</v>
      </c>
      <c r="N695" s="132" t="s">
        <v>1112</v>
      </c>
      <c r="O695" s="132" t="s">
        <v>2745</v>
      </c>
      <c r="P695" s="132" t="s">
        <v>2743</v>
      </c>
      <c r="Q695" s="132" t="s">
        <v>1108</v>
      </c>
    </row>
    <row r="696" spans="1:17" x14ac:dyDescent="0.2">
      <c r="A696" t="s">
        <v>181</v>
      </c>
      <c r="B696" s="141">
        <f t="shared" si="11"/>
        <v>1.6600000000000001</v>
      </c>
      <c r="C696" s="280">
        <v>45672</v>
      </c>
      <c r="D696" s="279">
        <v>45673</v>
      </c>
      <c r="E696" s="279">
        <v>45673</v>
      </c>
      <c r="F696" s="132"/>
      <c r="G696" s="132" t="s">
        <v>1108</v>
      </c>
      <c r="H696" s="132" t="s">
        <v>373</v>
      </c>
      <c r="I696" s="132" t="s">
        <v>1100</v>
      </c>
      <c r="J696" s="132" t="s">
        <v>1840</v>
      </c>
      <c r="K696" s="132" t="s">
        <v>1848</v>
      </c>
      <c r="L696" s="132" t="s">
        <v>1849</v>
      </c>
      <c r="M696" s="281" t="s">
        <v>2746</v>
      </c>
      <c r="N696" s="132" t="s">
        <v>1117</v>
      </c>
      <c r="O696" s="132" t="s">
        <v>2747</v>
      </c>
      <c r="P696" s="132" t="s">
        <v>2743</v>
      </c>
      <c r="Q696" s="132" t="s">
        <v>1108</v>
      </c>
    </row>
    <row r="697" spans="1:17" x14ac:dyDescent="0.2">
      <c r="A697" t="s">
        <v>181</v>
      </c>
      <c r="B697" s="141">
        <f t="shared" si="11"/>
        <v>1.6500000000000001</v>
      </c>
      <c r="C697" s="280">
        <v>45672</v>
      </c>
      <c r="D697" s="279">
        <v>45672</v>
      </c>
      <c r="E697" s="279">
        <v>45673</v>
      </c>
      <c r="F697" s="132"/>
      <c r="G697" s="132" t="s">
        <v>1108</v>
      </c>
      <c r="H697" s="132" t="s">
        <v>373</v>
      </c>
      <c r="I697" s="132" t="s">
        <v>1100</v>
      </c>
      <c r="J697" s="132" t="s">
        <v>1840</v>
      </c>
      <c r="K697" s="132" t="s">
        <v>1841</v>
      </c>
      <c r="L697" s="132" t="s">
        <v>1842</v>
      </c>
      <c r="M697" s="132" t="s">
        <v>2748</v>
      </c>
      <c r="N697" s="132" t="s">
        <v>1112</v>
      </c>
      <c r="O697" s="132" t="s">
        <v>2749</v>
      </c>
      <c r="P697" s="132" t="s">
        <v>2743</v>
      </c>
      <c r="Q697" s="132" t="s">
        <v>1108</v>
      </c>
    </row>
    <row r="698" spans="1:17" x14ac:dyDescent="0.2">
      <c r="A698" t="s">
        <v>181</v>
      </c>
      <c r="B698" s="141">
        <f t="shared" si="11"/>
        <v>6.5200000000000005</v>
      </c>
      <c r="C698" s="280">
        <v>45672</v>
      </c>
      <c r="D698" s="279">
        <v>45673</v>
      </c>
      <c r="E698" s="279">
        <v>45674</v>
      </c>
      <c r="F698" s="132"/>
      <c r="G698" s="132" t="s">
        <v>1108</v>
      </c>
      <c r="H698" s="132" t="s">
        <v>373</v>
      </c>
      <c r="I698" s="132" t="s">
        <v>1100</v>
      </c>
      <c r="J698" s="132" t="s">
        <v>2750</v>
      </c>
      <c r="K698" s="132" t="s">
        <v>2751</v>
      </c>
      <c r="L698" s="132" t="s">
        <v>2067</v>
      </c>
      <c r="M698" s="132" t="s">
        <v>2752</v>
      </c>
      <c r="N698" s="132" t="s">
        <v>1112</v>
      </c>
      <c r="O698" s="132" t="s">
        <v>2753</v>
      </c>
      <c r="P698" s="132" t="s">
        <v>2754</v>
      </c>
      <c r="Q698" s="132" t="s">
        <v>1108</v>
      </c>
    </row>
    <row r="699" spans="1:17" x14ac:dyDescent="0.2">
      <c r="A699" t="s">
        <v>181</v>
      </c>
      <c r="B699" s="141">
        <f t="shared" si="11"/>
        <v>1.6600000000000001</v>
      </c>
      <c r="C699" s="280">
        <v>45672</v>
      </c>
      <c r="D699" s="279">
        <v>45673</v>
      </c>
      <c r="E699" s="279">
        <v>45674</v>
      </c>
      <c r="F699" s="132"/>
      <c r="G699" s="132" t="s">
        <v>1108</v>
      </c>
      <c r="H699" s="132" t="s">
        <v>373</v>
      </c>
      <c r="I699" s="132" t="s">
        <v>1100</v>
      </c>
      <c r="J699" s="132" t="s">
        <v>1840</v>
      </c>
      <c r="K699" s="132" t="s">
        <v>1848</v>
      </c>
      <c r="L699" s="132" t="s">
        <v>1849</v>
      </c>
      <c r="M699" s="132" t="s">
        <v>2755</v>
      </c>
      <c r="N699" s="132" t="s">
        <v>1117</v>
      </c>
      <c r="O699" s="132" t="s">
        <v>2756</v>
      </c>
      <c r="P699" s="132" t="s">
        <v>2754</v>
      </c>
      <c r="Q699" s="132" t="s">
        <v>1108</v>
      </c>
    </row>
    <row r="700" spans="1:17" x14ac:dyDescent="0.2">
      <c r="A700" t="s">
        <v>182</v>
      </c>
      <c r="B700" s="141">
        <f t="shared" si="11"/>
        <v>4.6000000000000005</v>
      </c>
      <c r="C700" s="280">
        <v>45672</v>
      </c>
      <c r="D700" s="279">
        <v>45673</v>
      </c>
      <c r="E700" s="279">
        <v>45674</v>
      </c>
      <c r="F700" s="132"/>
      <c r="G700" s="132" t="s">
        <v>1336</v>
      </c>
      <c r="H700" s="132" t="s">
        <v>373</v>
      </c>
      <c r="I700" s="132" t="s">
        <v>1100</v>
      </c>
      <c r="J700" s="132" t="s">
        <v>2671</v>
      </c>
      <c r="K700" s="132" t="s">
        <v>2672</v>
      </c>
      <c r="L700" s="132" t="s">
        <v>2673</v>
      </c>
      <c r="M700" s="132" t="s">
        <v>2757</v>
      </c>
      <c r="N700" s="132" t="s">
        <v>1105</v>
      </c>
      <c r="O700" s="132" t="s">
        <v>2758</v>
      </c>
      <c r="P700" s="132" t="s">
        <v>2754</v>
      </c>
      <c r="Q700" s="132" t="s">
        <v>1108</v>
      </c>
    </row>
    <row r="701" spans="1:17" x14ac:dyDescent="0.2">
      <c r="A701" t="s">
        <v>181</v>
      </c>
      <c r="B701" s="141">
        <f t="shared" si="11"/>
        <v>1.6500000000000001</v>
      </c>
      <c r="C701" s="280">
        <v>45672</v>
      </c>
      <c r="D701" s="279">
        <v>45673</v>
      </c>
      <c r="E701" s="279">
        <v>45674</v>
      </c>
      <c r="F701" s="132"/>
      <c r="G701" s="132" t="s">
        <v>1108</v>
      </c>
      <c r="H701" s="132" t="s">
        <v>373</v>
      </c>
      <c r="I701" s="132" t="s">
        <v>1100</v>
      </c>
      <c r="J701" s="132" t="s">
        <v>1840</v>
      </c>
      <c r="K701" s="132" t="s">
        <v>1841</v>
      </c>
      <c r="L701" s="132" t="s">
        <v>1842</v>
      </c>
      <c r="M701" s="132" t="s">
        <v>2759</v>
      </c>
      <c r="N701" s="132" t="s">
        <v>1112</v>
      </c>
      <c r="O701" s="132" t="s">
        <v>2760</v>
      </c>
      <c r="P701" s="132" t="s">
        <v>2754</v>
      </c>
      <c r="Q701" s="132" t="s">
        <v>1108</v>
      </c>
    </row>
    <row r="702" spans="1:17" x14ac:dyDescent="0.2">
      <c r="A702" t="s">
        <v>182</v>
      </c>
      <c r="B702" s="141">
        <f t="shared" si="11"/>
        <v>4.6000000000000005</v>
      </c>
      <c r="C702" s="280">
        <v>45672</v>
      </c>
      <c r="D702" s="279">
        <v>45673</v>
      </c>
      <c r="E702" s="279">
        <v>45674</v>
      </c>
      <c r="F702" s="132"/>
      <c r="G702" s="132" t="s">
        <v>1108</v>
      </c>
      <c r="H702" s="132" t="s">
        <v>373</v>
      </c>
      <c r="I702" s="132" t="s">
        <v>1100</v>
      </c>
      <c r="J702" s="132" t="s">
        <v>2671</v>
      </c>
      <c r="K702" s="132" t="s">
        <v>2672</v>
      </c>
      <c r="L702" s="132" t="s">
        <v>2673</v>
      </c>
      <c r="M702" s="132" t="s">
        <v>2761</v>
      </c>
      <c r="N702" s="132" t="s">
        <v>1117</v>
      </c>
      <c r="O702" s="132" t="s">
        <v>2762</v>
      </c>
      <c r="P702" s="132" t="s">
        <v>2754</v>
      </c>
      <c r="Q702" s="132" t="s">
        <v>1108</v>
      </c>
    </row>
    <row r="703" spans="1:17" x14ac:dyDescent="0.2">
      <c r="A703" t="s">
        <v>181</v>
      </c>
      <c r="B703" s="141">
        <f t="shared" si="11"/>
        <v>1.6600000000000001</v>
      </c>
      <c r="C703" s="280">
        <v>45672</v>
      </c>
      <c r="D703" s="279">
        <v>45673</v>
      </c>
      <c r="E703" s="279">
        <v>45674</v>
      </c>
      <c r="F703" s="132"/>
      <c r="G703" s="132" t="s">
        <v>1108</v>
      </c>
      <c r="H703" s="132" t="s">
        <v>373</v>
      </c>
      <c r="I703" s="132" t="s">
        <v>1100</v>
      </c>
      <c r="J703" s="132" t="s">
        <v>1840</v>
      </c>
      <c r="K703" s="132" t="s">
        <v>1848</v>
      </c>
      <c r="L703" s="132" t="s">
        <v>1849</v>
      </c>
      <c r="M703" s="132" t="s">
        <v>2763</v>
      </c>
      <c r="N703" s="132" t="s">
        <v>1117</v>
      </c>
      <c r="O703" s="132" t="s">
        <v>2764</v>
      </c>
      <c r="P703" s="132" t="s">
        <v>2754</v>
      </c>
      <c r="Q703" s="132" t="s">
        <v>1108</v>
      </c>
    </row>
    <row r="704" spans="1:17" x14ac:dyDescent="0.2">
      <c r="A704" t="s">
        <v>243</v>
      </c>
      <c r="B704" s="141">
        <f t="shared" si="11"/>
        <v>3.62</v>
      </c>
      <c r="C704" s="280">
        <v>45675</v>
      </c>
      <c r="D704" s="279">
        <v>45676</v>
      </c>
      <c r="E704" s="279">
        <v>45677</v>
      </c>
      <c r="F704" s="132"/>
      <c r="G704" s="132" t="s">
        <v>1108</v>
      </c>
      <c r="H704" s="132" t="s">
        <v>373</v>
      </c>
      <c r="I704" s="132" t="s">
        <v>1100</v>
      </c>
      <c r="J704" s="132" t="s">
        <v>1853</v>
      </c>
      <c r="K704" s="132" t="s">
        <v>1731</v>
      </c>
      <c r="L704" s="132" t="s">
        <v>1854</v>
      </c>
      <c r="M704" s="132" t="s">
        <v>2765</v>
      </c>
      <c r="N704" s="132" t="s">
        <v>1117</v>
      </c>
      <c r="O704" s="132" t="s">
        <v>2766</v>
      </c>
      <c r="P704" s="132" t="s">
        <v>2767</v>
      </c>
      <c r="Q704" s="132" t="s">
        <v>1108</v>
      </c>
    </row>
    <row r="705" spans="1:17" x14ac:dyDescent="0.2">
      <c r="A705" t="s">
        <v>243</v>
      </c>
      <c r="B705" s="141">
        <f t="shared" si="11"/>
        <v>3.62</v>
      </c>
      <c r="C705" s="280">
        <v>45675</v>
      </c>
      <c r="D705" s="279">
        <v>45676</v>
      </c>
      <c r="E705" s="279">
        <v>45677</v>
      </c>
      <c r="F705" s="132"/>
      <c r="G705" s="132" t="s">
        <v>1108</v>
      </c>
      <c r="H705" s="132" t="s">
        <v>373</v>
      </c>
      <c r="I705" s="132" t="s">
        <v>1100</v>
      </c>
      <c r="J705" s="132" t="s">
        <v>1853</v>
      </c>
      <c r="K705" s="132" t="s">
        <v>1731</v>
      </c>
      <c r="L705" s="132" t="s">
        <v>1854</v>
      </c>
      <c r="M705" s="132" t="s">
        <v>2768</v>
      </c>
      <c r="N705" s="132" t="s">
        <v>1117</v>
      </c>
      <c r="O705" s="132" t="s">
        <v>2769</v>
      </c>
      <c r="P705" s="132" t="s">
        <v>2767</v>
      </c>
      <c r="Q705" s="132" t="s">
        <v>1108</v>
      </c>
    </row>
    <row r="706" spans="1:17" x14ac:dyDescent="0.2">
      <c r="A706" t="s">
        <v>243</v>
      </c>
      <c r="B706" s="141">
        <f t="shared" si="11"/>
        <v>3.62</v>
      </c>
      <c r="C706" s="280">
        <v>45675</v>
      </c>
      <c r="D706" s="279">
        <v>45676</v>
      </c>
      <c r="E706" s="279">
        <v>45677</v>
      </c>
      <c r="F706" s="132"/>
      <c r="G706" s="132" t="s">
        <v>1336</v>
      </c>
      <c r="H706" s="132" t="s">
        <v>373</v>
      </c>
      <c r="I706" s="132" t="s">
        <v>1100</v>
      </c>
      <c r="J706" s="132" t="s">
        <v>1853</v>
      </c>
      <c r="K706" s="132" t="s">
        <v>1731</v>
      </c>
      <c r="L706" s="132" t="s">
        <v>1854</v>
      </c>
      <c r="M706" s="132" t="s">
        <v>2770</v>
      </c>
      <c r="N706" s="132" t="s">
        <v>1105</v>
      </c>
      <c r="O706" s="132" t="s">
        <v>2771</v>
      </c>
      <c r="P706" s="132" t="s">
        <v>2767</v>
      </c>
      <c r="Q706" s="132" t="s">
        <v>1108</v>
      </c>
    </row>
    <row r="707" spans="1:17" x14ac:dyDescent="0.2">
      <c r="A707" t="s">
        <v>243</v>
      </c>
      <c r="B707" s="141">
        <f t="shared" si="11"/>
        <v>3.6</v>
      </c>
      <c r="C707" s="280">
        <v>45675</v>
      </c>
      <c r="D707" s="279">
        <v>45677</v>
      </c>
      <c r="E707" s="279">
        <v>45678</v>
      </c>
      <c r="F707" s="132"/>
      <c r="G707" s="132" t="s">
        <v>1108</v>
      </c>
      <c r="H707" s="132" t="s">
        <v>373</v>
      </c>
      <c r="I707" s="132" t="s">
        <v>1100</v>
      </c>
      <c r="J707" s="132" t="s">
        <v>1853</v>
      </c>
      <c r="K707" s="132" t="s">
        <v>1755</v>
      </c>
      <c r="L707" s="132" t="s">
        <v>1962</v>
      </c>
      <c r="M707" s="132" t="s">
        <v>2772</v>
      </c>
      <c r="N707" s="132" t="s">
        <v>1112</v>
      </c>
      <c r="O707" s="132" t="s">
        <v>2773</v>
      </c>
      <c r="P707" s="132" t="s">
        <v>2774</v>
      </c>
      <c r="Q707" s="132" t="s">
        <v>1108</v>
      </c>
    </row>
    <row r="708" spans="1:17" x14ac:dyDescent="0.2">
      <c r="A708" t="s">
        <v>243</v>
      </c>
      <c r="B708" s="141">
        <f t="shared" si="11"/>
        <v>3.6</v>
      </c>
      <c r="C708" s="280">
        <v>45675</v>
      </c>
      <c r="D708" s="279">
        <v>45677</v>
      </c>
      <c r="E708" s="279">
        <v>45678</v>
      </c>
      <c r="F708" s="132"/>
      <c r="G708" s="132" t="s">
        <v>1108</v>
      </c>
      <c r="H708" s="132" t="s">
        <v>373</v>
      </c>
      <c r="I708" s="132" t="s">
        <v>1100</v>
      </c>
      <c r="J708" s="132" t="s">
        <v>1853</v>
      </c>
      <c r="K708" s="132" t="s">
        <v>1755</v>
      </c>
      <c r="L708" s="132" t="s">
        <v>1962</v>
      </c>
      <c r="M708" s="132" t="s">
        <v>2775</v>
      </c>
      <c r="N708" s="132" t="s">
        <v>1112</v>
      </c>
      <c r="O708" s="132" t="s">
        <v>2776</v>
      </c>
      <c r="P708" s="132" t="s">
        <v>2774</v>
      </c>
      <c r="Q708" s="132" t="s">
        <v>1108</v>
      </c>
    </row>
    <row r="709" spans="1:17" x14ac:dyDescent="0.2">
      <c r="A709" t="s">
        <v>243</v>
      </c>
      <c r="B709" s="141">
        <f t="shared" si="11"/>
        <v>3.6</v>
      </c>
      <c r="C709" s="280">
        <v>45675</v>
      </c>
      <c r="D709" s="279">
        <v>45677</v>
      </c>
      <c r="E709" s="279">
        <v>45678</v>
      </c>
      <c r="F709" s="132"/>
      <c r="G709" s="132" t="s">
        <v>1108</v>
      </c>
      <c r="H709" s="132" t="s">
        <v>373</v>
      </c>
      <c r="I709" s="132" t="s">
        <v>1100</v>
      </c>
      <c r="J709" s="132" t="s">
        <v>1853</v>
      </c>
      <c r="K709" s="132" t="s">
        <v>1755</v>
      </c>
      <c r="L709" s="132" t="s">
        <v>1962</v>
      </c>
      <c r="M709" s="132" t="s">
        <v>2777</v>
      </c>
      <c r="N709" s="132" t="s">
        <v>1112</v>
      </c>
      <c r="O709" s="132" t="s">
        <v>2778</v>
      </c>
      <c r="P709" s="132" t="s">
        <v>2774</v>
      </c>
      <c r="Q709" s="132" t="s">
        <v>1108</v>
      </c>
    </row>
    <row r="710" spans="1:17" x14ac:dyDescent="0.2">
      <c r="A710" t="s">
        <v>243</v>
      </c>
      <c r="B710" s="141">
        <f t="shared" si="11"/>
        <v>3.62</v>
      </c>
      <c r="C710" s="280">
        <v>45676</v>
      </c>
      <c r="D710" s="279">
        <v>45678</v>
      </c>
      <c r="E710" s="279">
        <v>45678</v>
      </c>
      <c r="F710" s="132"/>
      <c r="G710" s="132" t="s">
        <v>2779</v>
      </c>
      <c r="H710" s="132" t="s">
        <v>373</v>
      </c>
      <c r="I710" s="132" t="s">
        <v>1100</v>
      </c>
      <c r="J710" s="132" t="s">
        <v>1853</v>
      </c>
      <c r="K710" s="132" t="s">
        <v>1731</v>
      </c>
      <c r="L710" s="132" t="s">
        <v>1854</v>
      </c>
      <c r="M710" s="132" t="s">
        <v>2780</v>
      </c>
      <c r="N710" s="132" t="s">
        <v>1105</v>
      </c>
      <c r="O710" s="132" t="s">
        <v>2781</v>
      </c>
      <c r="P710" s="132" t="s">
        <v>2774</v>
      </c>
      <c r="Q710" s="132" t="s">
        <v>1108</v>
      </c>
    </row>
    <row r="711" spans="1:17" x14ac:dyDescent="0.2">
      <c r="A711" t="s">
        <v>243</v>
      </c>
      <c r="B711" s="141">
        <f t="shared" si="11"/>
        <v>3.62</v>
      </c>
      <c r="C711" s="280">
        <v>45676</v>
      </c>
      <c r="D711" s="279">
        <v>45677</v>
      </c>
      <c r="E711" s="279">
        <v>45678</v>
      </c>
      <c r="F711" s="132"/>
      <c r="G711" s="132" t="s">
        <v>1108</v>
      </c>
      <c r="H711" s="132" t="s">
        <v>373</v>
      </c>
      <c r="I711" s="132" t="s">
        <v>1100</v>
      </c>
      <c r="J711" s="132" t="s">
        <v>1853</v>
      </c>
      <c r="K711" s="132" t="s">
        <v>1731</v>
      </c>
      <c r="L711" s="132" t="s">
        <v>1854</v>
      </c>
      <c r="M711" s="132" t="s">
        <v>2782</v>
      </c>
      <c r="N711" s="132" t="s">
        <v>1117</v>
      </c>
      <c r="O711" s="132" t="s">
        <v>2783</v>
      </c>
      <c r="P711" s="132" t="s">
        <v>2774</v>
      </c>
      <c r="Q711" s="132" t="s">
        <v>1108</v>
      </c>
    </row>
    <row r="712" spans="1:17" x14ac:dyDescent="0.2">
      <c r="A712" t="s">
        <v>243</v>
      </c>
      <c r="B712" s="141">
        <f t="shared" si="11"/>
        <v>3.6</v>
      </c>
      <c r="C712" s="280">
        <v>45676</v>
      </c>
      <c r="D712" s="279">
        <v>45677</v>
      </c>
      <c r="E712" s="279">
        <v>45678</v>
      </c>
      <c r="F712" s="132"/>
      <c r="G712" s="132" t="s">
        <v>1108</v>
      </c>
      <c r="H712" s="132" t="s">
        <v>373</v>
      </c>
      <c r="I712" s="132" t="s">
        <v>1100</v>
      </c>
      <c r="J712" s="132" t="s">
        <v>1853</v>
      </c>
      <c r="K712" s="132" t="s">
        <v>1755</v>
      </c>
      <c r="L712" s="132" t="s">
        <v>1962</v>
      </c>
      <c r="M712" s="132" t="s">
        <v>2784</v>
      </c>
      <c r="N712" s="132" t="s">
        <v>1112</v>
      </c>
      <c r="O712" s="132" t="s">
        <v>2785</v>
      </c>
      <c r="P712" s="132" t="s">
        <v>2774</v>
      </c>
      <c r="Q712" s="132" t="s">
        <v>1108</v>
      </c>
    </row>
    <row r="713" spans="1:17" x14ac:dyDescent="0.2">
      <c r="A713" t="s">
        <v>243</v>
      </c>
      <c r="B713" s="141">
        <f t="shared" si="11"/>
        <v>3.6</v>
      </c>
      <c r="C713" s="280">
        <v>45676</v>
      </c>
      <c r="D713" s="279">
        <v>45677</v>
      </c>
      <c r="E713" s="279">
        <v>45678</v>
      </c>
      <c r="F713" s="132"/>
      <c r="G713" s="132" t="s">
        <v>1108</v>
      </c>
      <c r="H713" s="132" t="s">
        <v>373</v>
      </c>
      <c r="I713" s="132" t="s">
        <v>1100</v>
      </c>
      <c r="J713" s="132" t="s">
        <v>1853</v>
      </c>
      <c r="K713" s="132" t="s">
        <v>1755</v>
      </c>
      <c r="L713" s="132" t="s">
        <v>1962</v>
      </c>
      <c r="M713" s="132" t="s">
        <v>2786</v>
      </c>
      <c r="N713" s="132" t="s">
        <v>1112</v>
      </c>
      <c r="O713" s="132" t="s">
        <v>2787</v>
      </c>
      <c r="P713" s="132" t="s">
        <v>2774</v>
      </c>
      <c r="Q713" s="132" t="s">
        <v>1108</v>
      </c>
    </row>
    <row r="714" spans="1:17" x14ac:dyDescent="0.2">
      <c r="A714" t="s">
        <v>243</v>
      </c>
      <c r="B714" s="141">
        <f t="shared" si="11"/>
        <v>3.62</v>
      </c>
      <c r="C714" s="280">
        <v>45677</v>
      </c>
      <c r="D714" s="279">
        <v>45678</v>
      </c>
      <c r="E714" s="279">
        <v>45678</v>
      </c>
      <c r="F714" s="132"/>
      <c r="G714" s="132" t="s">
        <v>1108</v>
      </c>
      <c r="H714" s="132" t="s">
        <v>373</v>
      </c>
      <c r="I714" s="132" t="s">
        <v>1100</v>
      </c>
      <c r="J714" s="132" t="s">
        <v>1853</v>
      </c>
      <c r="K714" s="132" t="s">
        <v>1731</v>
      </c>
      <c r="L714" s="132" t="s">
        <v>1854</v>
      </c>
      <c r="M714" s="132" t="s">
        <v>2788</v>
      </c>
      <c r="N714" s="132" t="s">
        <v>1117</v>
      </c>
      <c r="O714" s="132" t="s">
        <v>2789</v>
      </c>
      <c r="P714" s="132" t="s">
        <v>2774</v>
      </c>
      <c r="Q714" s="132" t="s">
        <v>1108</v>
      </c>
    </row>
    <row r="715" spans="1:17" x14ac:dyDescent="0.2">
      <c r="A715" t="s">
        <v>243</v>
      </c>
      <c r="B715" s="141">
        <f t="shared" si="11"/>
        <v>3.62</v>
      </c>
      <c r="C715" s="280">
        <v>45677</v>
      </c>
      <c r="D715" s="279">
        <v>45678</v>
      </c>
      <c r="E715" s="279">
        <v>45679</v>
      </c>
      <c r="F715" s="132"/>
      <c r="G715" s="132" t="s">
        <v>1108</v>
      </c>
      <c r="H715" s="132" t="s">
        <v>373</v>
      </c>
      <c r="I715" s="132" t="s">
        <v>1100</v>
      </c>
      <c r="J715" s="132" t="s">
        <v>1853</v>
      </c>
      <c r="K715" s="132" t="s">
        <v>1731</v>
      </c>
      <c r="L715" s="132" t="s">
        <v>1854</v>
      </c>
      <c r="M715" s="132" t="s">
        <v>2790</v>
      </c>
      <c r="N715" s="132" t="s">
        <v>1117</v>
      </c>
      <c r="O715" s="132" t="s">
        <v>2791</v>
      </c>
      <c r="P715" s="132" t="s">
        <v>2792</v>
      </c>
      <c r="Q715" s="132" t="s">
        <v>1108</v>
      </c>
    </row>
    <row r="716" spans="1:17" x14ac:dyDescent="0.2">
      <c r="A716" t="s">
        <v>243</v>
      </c>
      <c r="B716" s="141">
        <f t="shared" si="11"/>
        <v>3.6</v>
      </c>
      <c r="C716" s="280">
        <v>45677</v>
      </c>
      <c r="D716" s="279">
        <v>45678</v>
      </c>
      <c r="E716" s="279">
        <v>45679</v>
      </c>
      <c r="F716" s="132"/>
      <c r="G716" s="132" t="s">
        <v>1108</v>
      </c>
      <c r="H716" s="132" t="s">
        <v>373</v>
      </c>
      <c r="I716" s="132" t="s">
        <v>1100</v>
      </c>
      <c r="J716" s="132" t="s">
        <v>1853</v>
      </c>
      <c r="K716" s="132" t="s">
        <v>1755</v>
      </c>
      <c r="L716" s="132" t="s">
        <v>1962</v>
      </c>
      <c r="M716" s="132" t="s">
        <v>2793</v>
      </c>
      <c r="N716" s="132" t="s">
        <v>1112</v>
      </c>
      <c r="O716" s="132" t="s">
        <v>2794</v>
      </c>
      <c r="P716" s="132" t="s">
        <v>2792</v>
      </c>
      <c r="Q716" s="132" t="s">
        <v>1108</v>
      </c>
    </row>
    <row r="717" spans="1:17" x14ac:dyDescent="0.2">
      <c r="A717" t="s">
        <v>243</v>
      </c>
      <c r="B717" s="141">
        <f t="shared" si="11"/>
        <v>3.6</v>
      </c>
      <c r="C717" s="280">
        <v>45677</v>
      </c>
      <c r="D717" s="279">
        <v>45678</v>
      </c>
      <c r="E717" s="279">
        <v>45679</v>
      </c>
      <c r="F717" s="132"/>
      <c r="G717" s="132" t="s">
        <v>1108</v>
      </c>
      <c r="H717" s="132" t="s">
        <v>373</v>
      </c>
      <c r="I717" s="132" t="s">
        <v>1100</v>
      </c>
      <c r="J717" s="132" t="s">
        <v>1853</v>
      </c>
      <c r="K717" s="132" t="s">
        <v>1755</v>
      </c>
      <c r="L717" s="132" t="s">
        <v>1962</v>
      </c>
      <c r="M717" s="132" t="s">
        <v>2795</v>
      </c>
      <c r="N717" s="132" t="s">
        <v>1112</v>
      </c>
      <c r="O717" s="132" t="s">
        <v>2796</v>
      </c>
      <c r="P717" s="132" t="s">
        <v>2792</v>
      </c>
      <c r="Q717" s="132" t="s">
        <v>1108</v>
      </c>
    </row>
    <row r="718" spans="1:17" x14ac:dyDescent="0.2">
      <c r="A718" t="s">
        <v>243</v>
      </c>
      <c r="B718" s="141">
        <f t="shared" si="11"/>
        <v>3.6</v>
      </c>
      <c r="C718" s="280">
        <v>45677</v>
      </c>
      <c r="D718" s="279">
        <v>45678</v>
      </c>
      <c r="E718" s="279">
        <v>45679</v>
      </c>
      <c r="F718" s="132"/>
      <c r="G718" s="132" t="s">
        <v>1108</v>
      </c>
      <c r="H718" s="132" t="s">
        <v>373</v>
      </c>
      <c r="I718" s="132" t="s">
        <v>1100</v>
      </c>
      <c r="J718" s="132" t="s">
        <v>1853</v>
      </c>
      <c r="K718" s="132" t="s">
        <v>1755</v>
      </c>
      <c r="L718" s="132" t="s">
        <v>1962</v>
      </c>
      <c r="M718" s="132" t="s">
        <v>2797</v>
      </c>
      <c r="N718" s="132" t="s">
        <v>1112</v>
      </c>
      <c r="O718" s="132" t="s">
        <v>2798</v>
      </c>
      <c r="P718" s="132" t="s">
        <v>2792</v>
      </c>
      <c r="Q718" s="132" t="s">
        <v>1108</v>
      </c>
    </row>
    <row r="719" spans="1:17" x14ac:dyDescent="0.2">
      <c r="A719" t="s">
        <v>243</v>
      </c>
      <c r="B719" s="141">
        <f t="shared" si="11"/>
        <v>3.62</v>
      </c>
      <c r="C719" s="280">
        <v>45677</v>
      </c>
      <c r="D719" s="279">
        <v>45678</v>
      </c>
      <c r="E719" s="279">
        <v>45679</v>
      </c>
      <c r="F719" s="132"/>
      <c r="G719" s="132" t="s">
        <v>1166</v>
      </c>
      <c r="H719" s="132" t="s">
        <v>373</v>
      </c>
      <c r="I719" s="132" t="s">
        <v>1100</v>
      </c>
      <c r="J719" s="132" t="s">
        <v>1853</v>
      </c>
      <c r="K719" s="132" t="s">
        <v>1731</v>
      </c>
      <c r="L719" s="132" t="s">
        <v>1854</v>
      </c>
      <c r="M719" s="132" t="s">
        <v>2799</v>
      </c>
      <c r="N719" s="132" t="s">
        <v>1105</v>
      </c>
      <c r="O719" s="132" t="s">
        <v>2800</v>
      </c>
      <c r="P719" s="132" t="s">
        <v>2792</v>
      </c>
      <c r="Q719" s="132" t="s">
        <v>1108</v>
      </c>
    </row>
    <row r="720" spans="1:17" x14ac:dyDescent="0.2">
      <c r="A720" t="s">
        <v>243</v>
      </c>
      <c r="B720" s="141">
        <f t="shared" si="11"/>
        <v>3.6</v>
      </c>
      <c r="C720" s="280">
        <v>45678</v>
      </c>
      <c r="D720" s="279">
        <v>45678</v>
      </c>
      <c r="E720" s="279">
        <v>45679</v>
      </c>
      <c r="F720" s="132"/>
      <c r="G720" s="132" t="s">
        <v>1108</v>
      </c>
      <c r="H720" s="132" t="s">
        <v>373</v>
      </c>
      <c r="I720" s="132" t="s">
        <v>1100</v>
      </c>
      <c r="J720" s="132" t="s">
        <v>1853</v>
      </c>
      <c r="K720" s="132" t="s">
        <v>1755</v>
      </c>
      <c r="L720" s="132" t="s">
        <v>1962</v>
      </c>
      <c r="M720" s="132" t="s">
        <v>2801</v>
      </c>
      <c r="N720" s="132" t="s">
        <v>1112</v>
      </c>
      <c r="O720" s="132" t="s">
        <v>2802</v>
      </c>
      <c r="P720" s="132" t="s">
        <v>2792</v>
      </c>
      <c r="Q720" s="132" t="s">
        <v>1108</v>
      </c>
    </row>
    <row r="721" spans="1:17" x14ac:dyDescent="0.2">
      <c r="A721" t="s">
        <v>243</v>
      </c>
      <c r="B721" s="141">
        <f t="shared" si="11"/>
        <v>3.62</v>
      </c>
      <c r="C721" s="280">
        <v>45678</v>
      </c>
      <c r="D721" s="279">
        <v>45679</v>
      </c>
      <c r="E721" s="279">
        <v>45679</v>
      </c>
      <c r="F721" s="132"/>
      <c r="G721" s="132" t="s">
        <v>1108</v>
      </c>
      <c r="H721" s="132" t="s">
        <v>373</v>
      </c>
      <c r="I721" s="132" t="s">
        <v>1100</v>
      </c>
      <c r="J721" s="132" t="s">
        <v>1853</v>
      </c>
      <c r="K721" s="132" t="s">
        <v>1731</v>
      </c>
      <c r="L721" s="132" t="s">
        <v>1854</v>
      </c>
      <c r="M721" s="132" t="s">
        <v>2803</v>
      </c>
      <c r="N721" s="132" t="s">
        <v>1117</v>
      </c>
      <c r="O721" s="132" t="s">
        <v>2804</v>
      </c>
      <c r="P721" s="132" t="s">
        <v>2792</v>
      </c>
      <c r="Q721" s="132" t="s">
        <v>1108</v>
      </c>
    </row>
    <row r="722" spans="1:17" x14ac:dyDescent="0.2">
      <c r="A722" t="s">
        <v>243</v>
      </c>
      <c r="B722" s="141">
        <f t="shared" si="11"/>
        <v>3.6</v>
      </c>
      <c r="C722" s="280">
        <v>45678</v>
      </c>
      <c r="D722" s="279">
        <v>45678</v>
      </c>
      <c r="E722" s="279">
        <v>45679</v>
      </c>
      <c r="F722" s="132"/>
      <c r="G722" s="132" t="s">
        <v>1108</v>
      </c>
      <c r="H722" s="132" t="s">
        <v>373</v>
      </c>
      <c r="I722" s="132" t="s">
        <v>1100</v>
      </c>
      <c r="J722" s="132" t="s">
        <v>1853</v>
      </c>
      <c r="K722" s="132" t="s">
        <v>1755</v>
      </c>
      <c r="L722" s="132" t="s">
        <v>1962</v>
      </c>
      <c r="M722" s="132" t="s">
        <v>2805</v>
      </c>
      <c r="N722" s="132" t="s">
        <v>1112</v>
      </c>
      <c r="O722" s="132" t="s">
        <v>2806</v>
      </c>
      <c r="P722" s="132" t="s">
        <v>2792</v>
      </c>
      <c r="Q722" s="132" t="s">
        <v>1108</v>
      </c>
    </row>
    <row r="723" spans="1:17" x14ac:dyDescent="0.2">
      <c r="A723" t="s">
        <v>243</v>
      </c>
      <c r="B723" s="141">
        <f t="shared" si="11"/>
        <v>3.6</v>
      </c>
      <c r="C723" s="280">
        <v>45678</v>
      </c>
      <c r="D723" s="279">
        <v>45678</v>
      </c>
      <c r="E723" s="279">
        <v>45679</v>
      </c>
      <c r="F723" s="132"/>
      <c r="G723" s="132" t="s">
        <v>1108</v>
      </c>
      <c r="H723" s="132" t="s">
        <v>373</v>
      </c>
      <c r="I723" s="132" t="s">
        <v>1100</v>
      </c>
      <c r="J723" s="132" t="s">
        <v>1853</v>
      </c>
      <c r="K723" s="132" t="s">
        <v>1755</v>
      </c>
      <c r="L723" s="132" t="s">
        <v>1962</v>
      </c>
      <c r="M723" s="132" t="s">
        <v>2807</v>
      </c>
      <c r="N723" s="132" t="s">
        <v>1112</v>
      </c>
      <c r="O723" s="132" t="s">
        <v>2808</v>
      </c>
      <c r="P723" s="132" t="s">
        <v>2792</v>
      </c>
      <c r="Q723" s="132" t="s">
        <v>1108</v>
      </c>
    </row>
    <row r="724" spans="1:17" x14ac:dyDescent="0.2">
      <c r="A724" t="s">
        <v>243</v>
      </c>
      <c r="B724" s="141">
        <f t="shared" si="11"/>
        <v>3.6</v>
      </c>
      <c r="C724" s="280">
        <v>45678</v>
      </c>
      <c r="D724" s="279">
        <v>45678</v>
      </c>
      <c r="E724" s="279">
        <v>45679</v>
      </c>
      <c r="F724" s="132"/>
      <c r="G724" s="132" t="s">
        <v>1108</v>
      </c>
      <c r="H724" s="132" t="s">
        <v>373</v>
      </c>
      <c r="I724" s="132" t="s">
        <v>1100</v>
      </c>
      <c r="J724" s="132" t="s">
        <v>1853</v>
      </c>
      <c r="K724" s="132" t="s">
        <v>1755</v>
      </c>
      <c r="L724" s="132" t="s">
        <v>1962</v>
      </c>
      <c r="M724" s="132" t="s">
        <v>2809</v>
      </c>
      <c r="N724" s="132" t="s">
        <v>1112</v>
      </c>
      <c r="O724" s="132" t="s">
        <v>2810</v>
      </c>
      <c r="P724" s="132" t="s">
        <v>2792</v>
      </c>
      <c r="Q724" s="132" t="s">
        <v>1108</v>
      </c>
    </row>
    <row r="725" spans="1:17" x14ac:dyDescent="0.2">
      <c r="A725" t="s">
        <v>243</v>
      </c>
      <c r="B725" s="141">
        <f t="shared" si="11"/>
        <v>3.6</v>
      </c>
      <c r="C725" s="280">
        <v>45678</v>
      </c>
      <c r="D725" s="279">
        <v>45678</v>
      </c>
      <c r="E725" s="279">
        <v>45679</v>
      </c>
      <c r="F725" s="132"/>
      <c r="G725" s="132" t="s">
        <v>1108</v>
      </c>
      <c r="H725" s="132" t="s">
        <v>373</v>
      </c>
      <c r="I725" s="132" t="s">
        <v>1100</v>
      </c>
      <c r="J725" s="132" t="s">
        <v>1853</v>
      </c>
      <c r="K725" s="132" t="s">
        <v>1755</v>
      </c>
      <c r="L725" s="132" t="s">
        <v>1962</v>
      </c>
      <c r="M725" s="132" t="s">
        <v>2811</v>
      </c>
      <c r="N725" s="132" t="s">
        <v>1112</v>
      </c>
      <c r="O725" s="132" t="s">
        <v>2812</v>
      </c>
      <c r="P725" s="132" t="s">
        <v>2792</v>
      </c>
      <c r="Q725" s="132" t="s">
        <v>1108</v>
      </c>
    </row>
    <row r="726" spans="1:17" x14ac:dyDescent="0.2">
      <c r="A726" t="s">
        <v>243</v>
      </c>
      <c r="B726" s="141">
        <f t="shared" si="11"/>
        <v>3.62</v>
      </c>
      <c r="C726" s="280">
        <v>45678</v>
      </c>
      <c r="D726" s="279">
        <v>45679</v>
      </c>
      <c r="E726" s="279">
        <v>45679</v>
      </c>
      <c r="F726" s="132"/>
      <c r="G726" s="132" t="s">
        <v>1108</v>
      </c>
      <c r="H726" s="132" t="s">
        <v>373</v>
      </c>
      <c r="I726" s="132" t="s">
        <v>1100</v>
      </c>
      <c r="J726" s="132" t="s">
        <v>1853</v>
      </c>
      <c r="K726" s="132" t="s">
        <v>1731</v>
      </c>
      <c r="L726" s="132" t="s">
        <v>1854</v>
      </c>
      <c r="M726" s="132" t="s">
        <v>2813</v>
      </c>
      <c r="N726" s="132" t="s">
        <v>1117</v>
      </c>
      <c r="O726" s="132" t="s">
        <v>2814</v>
      </c>
      <c r="P726" s="132" t="s">
        <v>2792</v>
      </c>
      <c r="Q726" s="132" t="s">
        <v>1108</v>
      </c>
    </row>
    <row r="727" spans="1:17" x14ac:dyDescent="0.2">
      <c r="A727" t="s">
        <v>243</v>
      </c>
      <c r="B727" s="141">
        <f t="shared" si="11"/>
        <v>3.62</v>
      </c>
      <c r="C727" s="280">
        <v>45678</v>
      </c>
      <c r="D727" s="279">
        <v>45679</v>
      </c>
      <c r="E727" s="279">
        <v>45679</v>
      </c>
      <c r="F727" s="132"/>
      <c r="G727" s="132" t="s">
        <v>1378</v>
      </c>
      <c r="H727" s="132" t="s">
        <v>373</v>
      </c>
      <c r="I727" s="132" t="s">
        <v>1100</v>
      </c>
      <c r="J727" s="132" t="s">
        <v>1853</v>
      </c>
      <c r="K727" s="132" t="s">
        <v>1731</v>
      </c>
      <c r="L727" s="132" t="s">
        <v>1854</v>
      </c>
      <c r="M727" s="132" t="s">
        <v>2815</v>
      </c>
      <c r="N727" s="132" t="s">
        <v>1105</v>
      </c>
      <c r="O727" s="132" t="s">
        <v>2816</v>
      </c>
      <c r="P727" s="132" t="s">
        <v>2792</v>
      </c>
      <c r="Q727" s="132" t="s">
        <v>1108</v>
      </c>
    </row>
    <row r="728" spans="1:17" x14ac:dyDescent="0.2">
      <c r="A728" t="s">
        <v>243</v>
      </c>
      <c r="B728" s="141">
        <f t="shared" si="11"/>
        <v>3.6</v>
      </c>
      <c r="C728" s="280">
        <v>45678</v>
      </c>
      <c r="D728" s="279">
        <v>45678</v>
      </c>
      <c r="E728" s="279">
        <v>45679</v>
      </c>
      <c r="F728" s="132"/>
      <c r="G728" s="132" t="s">
        <v>1108</v>
      </c>
      <c r="H728" s="132" t="s">
        <v>373</v>
      </c>
      <c r="I728" s="132" t="s">
        <v>1100</v>
      </c>
      <c r="J728" s="132" t="s">
        <v>1853</v>
      </c>
      <c r="K728" s="132" t="s">
        <v>1755</v>
      </c>
      <c r="L728" s="132" t="s">
        <v>1962</v>
      </c>
      <c r="M728" s="132" t="s">
        <v>2817</v>
      </c>
      <c r="N728" s="132" t="s">
        <v>1112</v>
      </c>
      <c r="O728" s="132" t="s">
        <v>2818</v>
      </c>
      <c r="P728" s="132" t="s">
        <v>2792</v>
      </c>
      <c r="Q728" s="132" t="s">
        <v>1108</v>
      </c>
    </row>
    <row r="729" spans="1:17" x14ac:dyDescent="0.2">
      <c r="A729" t="s">
        <v>243</v>
      </c>
      <c r="B729" s="141">
        <f t="shared" si="11"/>
        <v>3.62</v>
      </c>
      <c r="C729" s="280">
        <v>45678</v>
      </c>
      <c r="D729" s="279">
        <v>45679</v>
      </c>
      <c r="E729" s="279">
        <v>45679</v>
      </c>
      <c r="F729" s="132"/>
      <c r="G729" s="132" t="s">
        <v>1813</v>
      </c>
      <c r="H729" s="132" t="s">
        <v>373</v>
      </c>
      <c r="I729" s="132" t="s">
        <v>1100</v>
      </c>
      <c r="J729" s="132" t="s">
        <v>1853</v>
      </c>
      <c r="K729" s="132" t="s">
        <v>1731</v>
      </c>
      <c r="L729" s="132" t="s">
        <v>1854</v>
      </c>
      <c r="M729" s="132" t="s">
        <v>2819</v>
      </c>
      <c r="N729" s="132" t="s">
        <v>1105</v>
      </c>
      <c r="O729" s="132" t="s">
        <v>2820</v>
      </c>
      <c r="P729" s="132" t="s">
        <v>2792</v>
      </c>
      <c r="Q729" s="132" t="s">
        <v>1108</v>
      </c>
    </row>
    <row r="730" spans="1:17" x14ac:dyDescent="0.2">
      <c r="A730" t="s">
        <v>243</v>
      </c>
      <c r="B730" s="141">
        <f t="shared" si="11"/>
        <v>3.6</v>
      </c>
      <c r="C730" s="280">
        <v>45678</v>
      </c>
      <c r="D730" s="279">
        <v>45678</v>
      </c>
      <c r="E730" s="279">
        <v>45679</v>
      </c>
      <c r="F730" s="132"/>
      <c r="G730" s="132" t="s">
        <v>1108</v>
      </c>
      <c r="H730" s="132" t="s">
        <v>373</v>
      </c>
      <c r="I730" s="132" t="s">
        <v>1100</v>
      </c>
      <c r="J730" s="132" t="s">
        <v>1853</v>
      </c>
      <c r="K730" s="132" t="s">
        <v>1755</v>
      </c>
      <c r="L730" s="132" t="s">
        <v>1962</v>
      </c>
      <c r="M730" s="132" t="s">
        <v>2821</v>
      </c>
      <c r="N730" s="132" t="s">
        <v>1112</v>
      </c>
      <c r="O730" s="132" t="s">
        <v>2822</v>
      </c>
      <c r="P730" s="132" t="s">
        <v>2792</v>
      </c>
      <c r="Q730" s="132" t="s">
        <v>1108</v>
      </c>
    </row>
    <row r="731" spans="1:17" x14ac:dyDescent="0.2">
      <c r="A731" t="s">
        <v>243</v>
      </c>
      <c r="B731" s="141">
        <f t="shared" si="11"/>
        <v>3.6</v>
      </c>
      <c r="C731" s="280">
        <v>45678</v>
      </c>
      <c r="D731" s="279">
        <v>45678</v>
      </c>
      <c r="E731" s="279">
        <v>45679</v>
      </c>
      <c r="F731" s="132"/>
      <c r="G731" s="132" t="s">
        <v>1108</v>
      </c>
      <c r="H731" s="132" t="s">
        <v>373</v>
      </c>
      <c r="I731" s="132" t="s">
        <v>1100</v>
      </c>
      <c r="J731" s="132" t="s">
        <v>1853</v>
      </c>
      <c r="K731" s="132" t="s">
        <v>1755</v>
      </c>
      <c r="L731" s="132" t="s">
        <v>1962</v>
      </c>
      <c r="M731" s="132" t="s">
        <v>2823</v>
      </c>
      <c r="N731" s="132" t="s">
        <v>1112</v>
      </c>
      <c r="O731" s="132" t="s">
        <v>2824</v>
      </c>
      <c r="P731" s="132" t="s">
        <v>2792</v>
      </c>
      <c r="Q731" s="132" t="s">
        <v>1108</v>
      </c>
    </row>
    <row r="732" spans="1:17" x14ac:dyDescent="0.2">
      <c r="A732" t="s">
        <v>243</v>
      </c>
      <c r="B732" s="141">
        <f t="shared" si="11"/>
        <v>3.6</v>
      </c>
      <c r="C732" s="280">
        <v>45678</v>
      </c>
      <c r="D732" s="279">
        <v>45678</v>
      </c>
      <c r="E732" s="279">
        <v>45679</v>
      </c>
      <c r="F732" s="132"/>
      <c r="G732" s="132" t="s">
        <v>1108</v>
      </c>
      <c r="H732" s="132" t="s">
        <v>373</v>
      </c>
      <c r="I732" s="132" t="s">
        <v>1100</v>
      </c>
      <c r="J732" s="132" t="s">
        <v>1853</v>
      </c>
      <c r="K732" s="132" t="s">
        <v>1755</v>
      </c>
      <c r="L732" s="132" t="s">
        <v>1962</v>
      </c>
      <c r="M732" s="132" t="s">
        <v>2825</v>
      </c>
      <c r="N732" s="132" t="s">
        <v>1112</v>
      </c>
      <c r="O732" s="132" t="s">
        <v>2826</v>
      </c>
      <c r="P732" s="132" t="s">
        <v>2792</v>
      </c>
      <c r="Q732" s="132" t="s">
        <v>1108</v>
      </c>
    </row>
    <row r="733" spans="1:17" x14ac:dyDescent="0.2">
      <c r="A733" t="s">
        <v>243</v>
      </c>
      <c r="B733" s="141">
        <f t="shared" si="11"/>
        <v>3.62</v>
      </c>
      <c r="C733" s="280">
        <v>45678</v>
      </c>
      <c r="D733" s="279">
        <v>45680</v>
      </c>
      <c r="E733" s="279">
        <v>45680</v>
      </c>
      <c r="F733" s="132"/>
      <c r="G733" s="132" t="s">
        <v>796</v>
      </c>
      <c r="H733" s="132" t="s">
        <v>373</v>
      </c>
      <c r="I733" s="132" t="s">
        <v>1100</v>
      </c>
      <c r="J733" s="132" t="s">
        <v>1853</v>
      </c>
      <c r="K733" s="132" t="s">
        <v>1731</v>
      </c>
      <c r="L733" s="132" t="s">
        <v>1854</v>
      </c>
      <c r="M733" s="132" t="s">
        <v>2827</v>
      </c>
      <c r="N733" s="132" t="s">
        <v>1105</v>
      </c>
      <c r="O733" s="132" t="s">
        <v>2828</v>
      </c>
      <c r="P733" s="132" t="s">
        <v>2829</v>
      </c>
      <c r="Q733" s="132" t="s">
        <v>1108</v>
      </c>
    </row>
    <row r="734" spans="1:17" x14ac:dyDescent="0.2">
      <c r="A734" t="s">
        <v>243</v>
      </c>
      <c r="B734" s="141">
        <f t="shared" si="11"/>
        <v>3.62</v>
      </c>
      <c r="C734" s="280">
        <v>45678</v>
      </c>
      <c r="D734" s="279">
        <v>45679</v>
      </c>
      <c r="E734" s="279">
        <v>45680</v>
      </c>
      <c r="F734" s="132"/>
      <c r="G734" s="132" t="s">
        <v>1108</v>
      </c>
      <c r="H734" s="132" t="s">
        <v>373</v>
      </c>
      <c r="I734" s="132" t="s">
        <v>1100</v>
      </c>
      <c r="J734" s="132" t="s">
        <v>1853</v>
      </c>
      <c r="K734" s="132" t="s">
        <v>1731</v>
      </c>
      <c r="L734" s="132" t="s">
        <v>1854</v>
      </c>
      <c r="M734" s="132" t="s">
        <v>2830</v>
      </c>
      <c r="N734" s="132" t="s">
        <v>1117</v>
      </c>
      <c r="O734" s="132" t="s">
        <v>2831</v>
      </c>
      <c r="P734" s="132" t="s">
        <v>2829</v>
      </c>
      <c r="Q734" s="132" t="s">
        <v>1108</v>
      </c>
    </row>
    <row r="735" spans="1:17" x14ac:dyDescent="0.2">
      <c r="A735" t="s">
        <v>243</v>
      </c>
      <c r="B735" s="141">
        <f t="shared" si="11"/>
        <v>3.62</v>
      </c>
      <c r="C735" s="280">
        <v>45678</v>
      </c>
      <c r="D735" s="279">
        <v>45679</v>
      </c>
      <c r="E735" s="279">
        <v>45680</v>
      </c>
      <c r="F735" s="132"/>
      <c r="G735" s="132" t="s">
        <v>1108</v>
      </c>
      <c r="H735" s="132" t="s">
        <v>373</v>
      </c>
      <c r="I735" s="132" t="s">
        <v>1100</v>
      </c>
      <c r="J735" s="132" t="s">
        <v>1853</v>
      </c>
      <c r="K735" s="132" t="s">
        <v>1731</v>
      </c>
      <c r="L735" s="132" t="s">
        <v>1854</v>
      </c>
      <c r="M735" s="132" t="s">
        <v>2832</v>
      </c>
      <c r="N735" s="132" t="s">
        <v>1117</v>
      </c>
      <c r="O735" s="132" t="s">
        <v>2833</v>
      </c>
      <c r="P735" s="132" t="s">
        <v>2829</v>
      </c>
      <c r="Q735" s="132" t="s">
        <v>1108</v>
      </c>
    </row>
    <row r="736" spans="1:17" x14ac:dyDescent="0.2">
      <c r="A736" t="s">
        <v>243</v>
      </c>
      <c r="B736" s="141">
        <f t="shared" si="11"/>
        <v>5.55</v>
      </c>
      <c r="C736" s="280">
        <v>45678</v>
      </c>
      <c r="D736" s="279">
        <v>45679</v>
      </c>
      <c r="E736" s="279">
        <v>45680</v>
      </c>
      <c r="F736" s="132"/>
      <c r="G736" s="132" t="s">
        <v>1108</v>
      </c>
      <c r="H736" s="132" t="s">
        <v>373</v>
      </c>
      <c r="I736" s="132" t="s">
        <v>1100</v>
      </c>
      <c r="J736" s="132" t="s">
        <v>1926</v>
      </c>
      <c r="K736" s="132" t="s">
        <v>2042</v>
      </c>
      <c r="L736" s="132" t="s">
        <v>2834</v>
      </c>
      <c r="M736" s="132" t="s">
        <v>2835</v>
      </c>
      <c r="N736" s="132" t="s">
        <v>1112</v>
      </c>
      <c r="O736" s="132" t="s">
        <v>2836</v>
      </c>
      <c r="P736" s="132" t="s">
        <v>2829</v>
      </c>
      <c r="Q736" s="132" t="s">
        <v>1108</v>
      </c>
    </row>
    <row r="737" spans="1:17" x14ac:dyDescent="0.2">
      <c r="A737" t="s">
        <v>243</v>
      </c>
      <c r="B737" s="141">
        <f t="shared" si="11"/>
        <v>3.62</v>
      </c>
      <c r="C737" s="280">
        <v>45678</v>
      </c>
      <c r="D737" s="279">
        <v>45679</v>
      </c>
      <c r="E737" s="279">
        <v>45680</v>
      </c>
      <c r="F737" s="132"/>
      <c r="G737" s="132" t="s">
        <v>1383</v>
      </c>
      <c r="H737" s="132" t="s">
        <v>373</v>
      </c>
      <c r="I737" s="132" t="s">
        <v>1100</v>
      </c>
      <c r="J737" s="132" t="s">
        <v>1853</v>
      </c>
      <c r="K737" s="132" t="s">
        <v>1731</v>
      </c>
      <c r="L737" s="132" t="s">
        <v>1854</v>
      </c>
      <c r="M737" s="132" t="s">
        <v>2837</v>
      </c>
      <c r="N737" s="132" t="s">
        <v>1105</v>
      </c>
      <c r="O737" s="132" t="s">
        <v>2838</v>
      </c>
      <c r="P737" s="132" t="s">
        <v>2829</v>
      </c>
      <c r="Q737" s="132" t="s">
        <v>1108</v>
      </c>
    </row>
    <row r="738" spans="1:17" x14ac:dyDescent="0.2">
      <c r="A738" t="s">
        <v>243</v>
      </c>
      <c r="B738" s="141">
        <f t="shared" si="11"/>
        <v>3.6</v>
      </c>
      <c r="C738" s="280">
        <v>45678</v>
      </c>
      <c r="D738" s="279">
        <v>45679</v>
      </c>
      <c r="E738" s="279">
        <v>45680</v>
      </c>
      <c r="F738" s="132"/>
      <c r="G738" s="132" t="s">
        <v>1108</v>
      </c>
      <c r="H738" s="132" t="s">
        <v>373</v>
      </c>
      <c r="I738" s="132" t="s">
        <v>1100</v>
      </c>
      <c r="J738" s="132" t="s">
        <v>1853</v>
      </c>
      <c r="K738" s="132" t="s">
        <v>1755</v>
      </c>
      <c r="L738" s="132" t="s">
        <v>1962</v>
      </c>
      <c r="M738" s="132" t="s">
        <v>2839</v>
      </c>
      <c r="N738" s="132" t="s">
        <v>1112</v>
      </c>
      <c r="O738" s="132" t="s">
        <v>2840</v>
      </c>
      <c r="P738" s="132" t="s">
        <v>2829</v>
      </c>
      <c r="Q738" s="132" t="s">
        <v>1108</v>
      </c>
    </row>
    <row r="739" spans="1:17" x14ac:dyDescent="0.2">
      <c r="A739" t="s">
        <v>243</v>
      </c>
      <c r="B739" s="141">
        <f t="shared" si="11"/>
        <v>3.6</v>
      </c>
      <c r="C739" s="280">
        <v>45678</v>
      </c>
      <c r="D739" s="279">
        <v>45679</v>
      </c>
      <c r="E739" s="279">
        <v>45680</v>
      </c>
      <c r="F739" s="132"/>
      <c r="G739" s="132" t="s">
        <v>1108</v>
      </c>
      <c r="H739" s="132" t="s">
        <v>373</v>
      </c>
      <c r="I739" s="132" t="s">
        <v>1100</v>
      </c>
      <c r="J739" s="132" t="s">
        <v>1853</v>
      </c>
      <c r="K739" s="132" t="s">
        <v>1755</v>
      </c>
      <c r="L739" s="132" t="s">
        <v>1962</v>
      </c>
      <c r="M739" s="132" t="s">
        <v>2841</v>
      </c>
      <c r="N739" s="132" t="s">
        <v>1112</v>
      </c>
      <c r="O739" s="132" t="s">
        <v>2842</v>
      </c>
      <c r="P739" s="132" t="s">
        <v>2829</v>
      </c>
      <c r="Q739" s="132" t="s">
        <v>1108</v>
      </c>
    </row>
    <row r="740" spans="1:17" x14ac:dyDescent="0.2">
      <c r="A740" t="s">
        <v>243</v>
      </c>
      <c r="B740" s="141">
        <f t="shared" si="11"/>
        <v>3.62</v>
      </c>
      <c r="C740" s="280">
        <v>45678</v>
      </c>
      <c r="D740" s="279">
        <v>45679</v>
      </c>
      <c r="E740" s="279">
        <v>45680</v>
      </c>
      <c r="F740" s="132"/>
      <c r="G740" s="132" t="s">
        <v>1556</v>
      </c>
      <c r="H740" s="132" t="s">
        <v>373</v>
      </c>
      <c r="I740" s="132" t="s">
        <v>1100</v>
      </c>
      <c r="J740" s="132" t="s">
        <v>1853</v>
      </c>
      <c r="K740" s="132" t="s">
        <v>1731</v>
      </c>
      <c r="L740" s="132" t="s">
        <v>1854</v>
      </c>
      <c r="M740" s="132" t="s">
        <v>2843</v>
      </c>
      <c r="N740" s="132" t="s">
        <v>1105</v>
      </c>
      <c r="O740" s="132" t="s">
        <v>2844</v>
      </c>
      <c r="P740" s="132" t="s">
        <v>2829</v>
      </c>
      <c r="Q740" s="132" t="s">
        <v>1108</v>
      </c>
    </row>
    <row r="741" spans="1:17" x14ac:dyDescent="0.2">
      <c r="A741" t="s">
        <v>243</v>
      </c>
      <c r="B741" s="141">
        <f t="shared" si="11"/>
        <v>3.62</v>
      </c>
      <c r="C741" s="280">
        <v>45678</v>
      </c>
      <c r="D741" s="279">
        <v>45679</v>
      </c>
      <c r="E741" s="279">
        <v>45680</v>
      </c>
      <c r="F741" s="132"/>
      <c r="G741" s="132" t="s">
        <v>1290</v>
      </c>
      <c r="H741" s="132" t="s">
        <v>373</v>
      </c>
      <c r="I741" s="132" t="s">
        <v>1100</v>
      </c>
      <c r="J741" s="132" t="s">
        <v>1853</v>
      </c>
      <c r="K741" s="132" t="s">
        <v>1731</v>
      </c>
      <c r="L741" s="132" t="s">
        <v>1854</v>
      </c>
      <c r="M741" s="132" t="s">
        <v>2845</v>
      </c>
      <c r="N741" s="132" t="s">
        <v>1105</v>
      </c>
      <c r="O741" s="132" t="s">
        <v>2846</v>
      </c>
      <c r="P741" s="132" t="s">
        <v>2829</v>
      </c>
      <c r="Q741" s="132" t="s">
        <v>1108</v>
      </c>
    </row>
    <row r="742" spans="1:17" x14ac:dyDescent="0.2">
      <c r="A742" t="s">
        <v>243</v>
      </c>
      <c r="B742" s="141">
        <f t="shared" si="11"/>
        <v>3.6</v>
      </c>
      <c r="C742" s="280">
        <v>45678</v>
      </c>
      <c r="D742" s="279">
        <v>45679</v>
      </c>
      <c r="E742" s="279">
        <v>45680</v>
      </c>
      <c r="F742" s="132"/>
      <c r="G742" s="132" t="s">
        <v>1108</v>
      </c>
      <c r="H742" s="132" t="s">
        <v>373</v>
      </c>
      <c r="I742" s="132" t="s">
        <v>1100</v>
      </c>
      <c r="J742" s="132" t="s">
        <v>1853</v>
      </c>
      <c r="K742" s="132" t="s">
        <v>1755</v>
      </c>
      <c r="L742" s="132" t="s">
        <v>1962</v>
      </c>
      <c r="M742" s="132" t="s">
        <v>2847</v>
      </c>
      <c r="N742" s="132" t="s">
        <v>1112</v>
      </c>
      <c r="O742" s="132" t="s">
        <v>2848</v>
      </c>
      <c r="P742" s="132" t="s">
        <v>2829</v>
      </c>
      <c r="Q742" s="132" t="s">
        <v>1108</v>
      </c>
    </row>
    <row r="743" spans="1:17" x14ac:dyDescent="0.2">
      <c r="A743" t="s">
        <v>243</v>
      </c>
      <c r="B743" s="141">
        <f t="shared" si="11"/>
        <v>3.62</v>
      </c>
      <c r="C743" s="280">
        <v>45678</v>
      </c>
      <c r="D743" s="279">
        <v>45679</v>
      </c>
      <c r="E743" s="279">
        <v>45680</v>
      </c>
      <c r="F743" s="132"/>
      <c r="G743" s="132" t="s">
        <v>1585</v>
      </c>
      <c r="H743" s="132" t="s">
        <v>373</v>
      </c>
      <c r="I743" s="132" t="s">
        <v>1100</v>
      </c>
      <c r="J743" s="132" t="s">
        <v>1853</v>
      </c>
      <c r="K743" s="132" t="s">
        <v>1731</v>
      </c>
      <c r="L743" s="132" t="s">
        <v>1854</v>
      </c>
      <c r="M743" s="132" t="s">
        <v>2849</v>
      </c>
      <c r="N743" s="132" t="s">
        <v>1105</v>
      </c>
      <c r="O743" s="132" t="s">
        <v>2850</v>
      </c>
      <c r="P743" s="132" t="s">
        <v>2829</v>
      </c>
      <c r="Q743" s="132" t="s">
        <v>1108</v>
      </c>
    </row>
    <row r="744" spans="1:17" x14ac:dyDescent="0.2">
      <c r="A744" t="s">
        <v>243</v>
      </c>
      <c r="B744" s="141">
        <f t="shared" si="11"/>
        <v>3.62</v>
      </c>
      <c r="C744" s="280">
        <v>45678</v>
      </c>
      <c r="D744" s="279">
        <v>45679</v>
      </c>
      <c r="E744" s="279">
        <v>45680</v>
      </c>
      <c r="F744" s="132"/>
      <c r="G744" s="132" t="s">
        <v>1108</v>
      </c>
      <c r="H744" s="132" t="s">
        <v>373</v>
      </c>
      <c r="I744" s="132" t="s">
        <v>1100</v>
      </c>
      <c r="J744" s="132" t="s">
        <v>1853</v>
      </c>
      <c r="K744" s="132" t="s">
        <v>1731</v>
      </c>
      <c r="L744" s="132" t="s">
        <v>1854</v>
      </c>
      <c r="M744" s="132" t="s">
        <v>2851</v>
      </c>
      <c r="N744" s="132" t="s">
        <v>1117</v>
      </c>
      <c r="O744" s="132" t="s">
        <v>2852</v>
      </c>
      <c r="P744" s="132" t="s">
        <v>2829</v>
      </c>
      <c r="Q744" s="132" t="s">
        <v>1108</v>
      </c>
    </row>
    <row r="745" spans="1:17" x14ac:dyDescent="0.2">
      <c r="A745" t="s">
        <v>243</v>
      </c>
      <c r="B745" s="141">
        <f t="shared" si="11"/>
        <v>3.62</v>
      </c>
      <c r="C745" s="280">
        <v>45678</v>
      </c>
      <c r="D745" s="279">
        <v>45679</v>
      </c>
      <c r="E745" s="279">
        <v>45680</v>
      </c>
      <c r="F745" s="132"/>
      <c r="G745" s="132" t="s">
        <v>1108</v>
      </c>
      <c r="H745" s="132" t="s">
        <v>373</v>
      </c>
      <c r="I745" s="132" t="s">
        <v>1100</v>
      </c>
      <c r="J745" s="132" t="s">
        <v>1853</v>
      </c>
      <c r="K745" s="132" t="s">
        <v>1731</v>
      </c>
      <c r="L745" s="132" t="s">
        <v>1854</v>
      </c>
      <c r="M745" s="132" t="s">
        <v>2853</v>
      </c>
      <c r="N745" s="132" t="s">
        <v>1117</v>
      </c>
      <c r="O745" s="132" t="s">
        <v>2854</v>
      </c>
      <c r="P745" s="132" t="s">
        <v>2829</v>
      </c>
      <c r="Q745" s="132" t="s">
        <v>1108</v>
      </c>
    </row>
    <row r="746" spans="1:17" x14ac:dyDescent="0.2">
      <c r="A746" t="s">
        <v>243</v>
      </c>
      <c r="B746" s="141">
        <f t="shared" si="11"/>
        <v>3.62</v>
      </c>
      <c r="C746" s="280">
        <v>45679</v>
      </c>
      <c r="D746" s="279">
        <v>45680</v>
      </c>
      <c r="E746" s="279">
        <v>45680</v>
      </c>
      <c r="F746" s="132"/>
      <c r="G746" s="132" t="s">
        <v>1108</v>
      </c>
      <c r="H746" s="132" t="s">
        <v>373</v>
      </c>
      <c r="I746" s="132" t="s">
        <v>1100</v>
      </c>
      <c r="J746" s="132" t="s">
        <v>1853</v>
      </c>
      <c r="K746" s="132" t="s">
        <v>1731</v>
      </c>
      <c r="L746" s="132" t="s">
        <v>1854</v>
      </c>
      <c r="M746" s="132" t="s">
        <v>2855</v>
      </c>
      <c r="N746" s="132" t="s">
        <v>1117</v>
      </c>
      <c r="O746" s="132" t="s">
        <v>2856</v>
      </c>
      <c r="P746" s="132" t="s">
        <v>2829</v>
      </c>
      <c r="Q746" s="132" t="s">
        <v>1108</v>
      </c>
    </row>
    <row r="747" spans="1:17" x14ac:dyDescent="0.2">
      <c r="A747" t="s">
        <v>243</v>
      </c>
      <c r="B747" s="141">
        <f t="shared" si="11"/>
        <v>3.62</v>
      </c>
      <c r="C747" s="280">
        <v>45679</v>
      </c>
      <c r="D747" s="279">
        <v>45680</v>
      </c>
      <c r="E747" s="279">
        <v>45680</v>
      </c>
      <c r="F747" s="132"/>
      <c r="G747" s="132" t="s">
        <v>1108</v>
      </c>
      <c r="H747" s="132" t="s">
        <v>373</v>
      </c>
      <c r="I747" s="132" t="s">
        <v>1100</v>
      </c>
      <c r="J747" s="132" t="s">
        <v>1853</v>
      </c>
      <c r="K747" s="132" t="s">
        <v>1731</v>
      </c>
      <c r="L747" s="132" t="s">
        <v>1854</v>
      </c>
      <c r="M747" s="132" t="s">
        <v>2857</v>
      </c>
      <c r="N747" s="132" t="s">
        <v>1117</v>
      </c>
      <c r="O747" s="132" t="s">
        <v>2858</v>
      </c>
      <c r="P747" s="132" t="s">
        <v>2829</v>
      </c>
      <c r="Q747" s="132" t="s">
        <v>1108</v>
      </c>
    </row>
    <row r="748" spans="1:17" x14ac:dyDescent="0.2">
      <c r="A748" t="s">
        <v>243</v>
      </c>
      <c r="B748" s="141">
        <f t="shared" si="11"/>
        <v>3.6</v>
      </c>
      <c r="C748" s="280">
        <v>45679</v>
      </c>
      <c r="D748" s="279">
        <v>45679</v>
      </c>
      <c r="E748" s="279">
        <v>45680</v>
      </c>
      <c r="F748" s="132"/>
      <c r="G748" s="132" t="s">
        <v>1108</v>
      </c>
      <c r="H748" s="132" t="s">
        <v>373</v>
      </c>
      <c r="I748" s="132" t="s">
        <v>1100</v>
      </c>
      <c r="J748" s="132" t="s">
        <v>1853</v>
      </c>
      <c r="K748" s="132" t="s">
        <v>1755</v>
      </c>
      <c r="L748" s="132" t="s">
        <v>1962</v>
      </c>
      <c r="M748" s="132" t="s">
        <v>2859</v>
      </c>
      <c r="N748" s="132" t="s">
        <v>1112</v>
      </c>
      <c r="O748" s="132" t="s">
        <v>2860</v>
      </c>
      <c r="P748" s="132" t="s">
        <v>2829</v>
      </c>
      <c r="Q748" s="132" t="s">
        <v>1108</v>
      </c>
    </row>
    <row r="749" spans="1:17" x14ac:dyDescent="0.2">
      <c r="A749" t="s">
        <v>243</v>
      </c>
      <c r="B749" s="141">
        <f t="shared" si="11"/>
        <v>3.62</v>
      </c>
      <c r="C749" s="280">
        <v>45679</v>
      </c>
      <c r="D749" s="279">
        <v>45681</v>
      </c>
      <c r="E749" s="279">
        <v>45681</v>
      </c>
      <c r="F749" s="132"/>
      <c r="G749" s="132" t="s">
        <v>2861</v>
      </c>
      <c r="H749" s="132" t="s">
        <v>373</v>
      </c>
      <c r="I749" s="132" t="s">
        <v>1100</v>
      </c>
      <c r="J749" s="132" t="s">
        <v>1853</v>
      </c>
      <c r="K749" s="132" t="s">
        <v>1731</v>
      </c>
      <c r="L749" s="132" t="s">
        <v>1854</v>
      </c>
      <c r="M749" s="132" t="s">
        <v>2862</v>
      </c>
      <c r="N749" s="132" t="s">
        <v>1105</v>
      </c>
      <c r="O749" s="132" t="s">
        <v>2863</v>
      </c>
      <c r="P749" s="132" t="s">
        <v>2864</v>
      </c>
      <c r="Q749" s="132" t="s">
        <v>1108</v>
      </c>
    </row>
    <row r="750" spans="1:17" x14ac:dyDescent="0.2">
      <c r="A750" t="s">
        <v>243</v>
      </c>
      <c r="B750" s="141">
        <f t="shared" si="11"/>
        <v>3.6</v>
      </c>
      <c r="C750" s="280">
        <v>45679</v>
      </c>
      <c r="D750" s="279">
        <v>45680</v>
      </c>
      <c r="E750" s="279">
        <v>45681</v>
      </c>
      <c r="F750" s="132"/>
      <c r="G750" s="132" t="s">
        <v>1108</v>
      </c>
      <c r="H750" s="132" t="s">
        <v>373</v>
      </c>
      <c r="I750" s="132" t="s">
        <v>1100</v>
      </c>
      <c r="J750" s="132" t="s">
        <v>1853</v>
      </c>
      <c r="K750" s="132" t="s">
        <v>1755</v>
      </c>
      <c r="L750" s="132" t="s">
        <v>1962</v>
      </c>
      <c r="M750" s="132" t="s">
        <v>2865</v>
      </c>
      <c r="N750" s="132" t="s">
        <v>1112</v>
      </c>
      <c r="O750" s="132" t="s">
        <v>2866</v>
      </c>
      <c r="P750" s="132" t="s">
        <v>2864</v>
      </c>
      <c r="Q750" s="132" t="s">
        <v>1108</v>
      </c>
    </row>
    <row r="751" spans="1:17" x14ac:dyDescent="0.2">
      <c r="A751" t="s">
        <v>243</v>
      </c>
      <c r="B751" s="141">
        <f t="shared" si="11"/>
        <v>3.6</v>
      </c>
      <c r="C751" s="280">
        <v>45679</v>
      </c>
      <c r="D751" s="279">
        <v>45680</v>
      </c>
      <c r="E751" s="279">
        <v>45681</v>
      </c>
      <c r="F751" s="132"/>
      <c r="G751" s="132" t="s">
        <v>1108</v>
      </c>
      <c r="H751" s="132" t="s">
        <v>373</v>
      </c>
      <c r="I751" s="132" t="s">
        <v>1100</v>
      </c>
      <c r="J751" s="132" t="s">
        <v>1853</v>
      </c>
      <c r="K751" s="132" t="s">
        <v>1755</v>
      </c>
      <c r="L751" s="132" t="s">
        <v>1962</v>
      </c>
      <c r="M751" s="132" t="s">
        <v>2867</v>
      </c>
      <c r="N751" s="132" t="s">
        <v>1112</v>
      </c>
      <c r="O751" s="132" t="s">
        <v>2868</v>
      </c>
      <c r="P751" s="132" t="s">
        <v>2864</v>
      </c>
      <c r="Q751" s="132" t="s">
        <v>1108</v>
      </c>
    </row>
    <row r="752" spans="1:17" x14ac:dyDescent="0.2">
      <c r="A752" t="s">
        <v>243</v>
      </c>
      <c r="B752" s="141">
        <f t="shared" si="11"/>
        <v>3.62</v>
      </c>
      <c r="C752" s="280">
        <v>45680</v>
      </c>
      <c r="D752" s="279">
        <v>45681</v>
      </c>
      <c r="E752" s="279">
        <v>45681</v>
      </c>
      <c r="F752" s="132"/>
      <c r="G752" s="132" t="s">
        <v>1463</v>
      </c>
      <c r="H752" s="132" t="s">
        <v>373</v>
      </c>
      <c r="I752" s="132" t="s">
        <v>1100</v>
      </c>
      <c r="J752" s="132" t="s">
        <v>1853</v>
      </c>
      <c r="K752" s="132" t="s">
        <v>1731</v>
      </c>
      <c r="L752" s="132" t="s">
        <v>1854</v>
      </c>
      <c r="M752" s="132" t="s">
        <v>2869</v>
      </c>
      <c r="N752" s="132" t="s">
        <v>1105</v>
      </c>
      <c r="O752" s="132" t="s">
        <v>2870</v>
      </c>
      <c r="P752" s="132" t="s">
        <v>2864</v>
      </c>
      <c r="Q752" s="132" t="s">
        <v>1108</v>
      </c>
    </row>
    <row r="753" spans="1:17" x14ac:dyDescent="0.2">
      <c r="A753" t="s">
        <v>243</v>
      </c>
      <c r="B753" s="141">
        <f t="shared" si="11"/>
        <v>3.62</v>
      </c>
      <c r="C753" s="280">
        <v>45680</v>
      </c>
      <c r="D753" s="279">
        <v>45681</v>
      </c>
      <c r="E753" s="279">
        <v>45682</v>
      </c>
      <c r="F753" s="132"/>
      <c r="G753" s="132" t="s">
        <v>1421</v>
      </c>
      <c r="H753" s="132" t="s">
        <v>373</v>
      </c>
      <c r="I753" s="132" t="s">
        <v>1100</v>
      </c>
      <c r="J753" s="132" t="s">
        <v>1853</v>
      </c>
      <c r="K753" s="132" t="s">
        <v>1731</v>
      </c>
      <c r="L753" s="132" t="s">
        <v>1854</v>
      </c>
      <c r="M753" s="132" t="s">
        <v>2871</v>
      </c>
      <c r="N753" s="132" t="s">
        <v>1105</v>
      </c>
      <c r="O753" s="132" t="s">
        <v>2872</v>
      </c>
      <c r="P753" s="132" t="s">
        <v>2873</v>
      </c>
      <c r="Q753" s="132" t="s">
        <v>1108</v>
      </c>
    </row>
    <row r="754" spans="1:17" x14ac:dyDescent="0.2">
      <c r="A754" t="s">
        <v>274</v>
      </c>
      <c r="B754" s="141">
        <f t="shared" si="11"/>
        <v>3.62</v>
      </c>
      <c r="C754" s="280">
        <v>45687</v>
      </c>
      <c r="D754" s="279">
        <v>45688</v>
      </c>
      <c r="E754" s="279">
        <v>45688</v>
      </c>
      <c r="F754" s="132"/>
      <c r="G754" s="132" t="s">
        <v>1108</v>
      </c>
      <c r="H754" s="132" t="s">
        <v>373</v>
      </c>
      <c r="I754" s="132" t="s">
        <v>1100</v>
      </c>
      <c r="J754" s="132" t="s">
        <v>1853</v>
      </c>
      <c r="K754" s="132" t="s">
        <v>1731</v>
      </c>
      <c r="L754" s="132" t="s">
        <v>1854</v>
      </c>
      <c r="M754" s="132" t="s">
        <v>2874</v>
      </c>
      <c r="N754" s="132" t="s">
        <v>1117</v>
      </c>
      <c r="O754" s="132" t="s">
        <v>2875</v>
      </c>
      <c r="P754" s="132" t="s">
        <v>2876</v>
      </c>
      <c r="Q754" s="132" t="s">
        <v>1108</v>
      </c>
    </row>
    <row r="755" spans="1:17" x14ac:dyDescent="0.2">
      <c r="A755" t="s">
        <v>274</v>
      </c>
      <c r="B755" s="141">
        <f t="shared" si="11"/>
        <v>3.6</v>
      </c>
      <c r="C755" s="280">
        <v>45687</v>
      </c>
      <c r="D755" s="279">
        <v>45688</v>
      </c>
      <c r="E755" s="279">
        <v>45689</v>
      </c>
      <c r="F755" s="132"/>
      <c r="G755" s="132" t="s">
        <v>1108</v>
      </c>
      <c r="H755" s="132" t="s">
        <v>373</v>
      </c>
      <c r="I755" s="132" t="s">
        <v>1100</v>
      </c>
      <c r="J755" s="132" t="s">
        <v>1853</v>
      </c>
      <c r="K755" s="132" t="s">
        <v>1755</v>
      </c>
      <c r="L755" s="132" t="s">
        <v>1962</v>
      </c>
      <c r="M755" s="132" t="s">
        <v>2877</v>
      </c>
      <c r="N755" s="132" t="s">
        <v>1112</v>
      </c>
      <c r="O755" s="132" t="s">
        <v>2878</v>
      </c>
      <c r="P755" s="132" t="s">
        <v>2879</v>
      </c>
      <c r="Q755" s="132" t="s">
        <v>1108</v>
      </c>
    </row>
    <row r="756" spans="1:17" x14ac:dyDescent="0.2">
      <c r="A756" t="s">
        <v>274</v>
      </c>
      <c r="B756" s="141">
        <f t="shared" si="11"/>
        <v>3.62</v>
      </c>
      <c r="C756" s="280">
        <v>45687</v>
      </c>
      <c r="D756" s="279">
        <v>45688</v>
      </c>
      <c r="E756" s="279">
        <v>45689</v>
      </c>
      <c r="F756" s="132"/>
      <c r="G756" s="132" t="s">
        <v>1336</v>
      </c>
      <c r="H756" s="132" t="s">
        <v>373</v>
      </c>
      <c r="I756" s="132" t="s">
        <v>1100</v>
      </c>
      <c r="J756" s="132" t="s">
        <v>1853</v>
      </c>
      <c r="K756" s="132" t="s">
        <v>1731</v>
      </c>
      <c r="L756" s="132" t="s">
        <v>1854</v>
      </c>
      <c r="M756" s="132" t="s">
        <v>2880</v>
      </c>
      <c r="N756" s="132" t="s">
        <v>1105</v>
      </c>
      <c r="O756" s="132" t="s">
        <v>2881</v>
      </c>
      <c r="P756" s="132" t="s">
        <v>2879</v>
      </c>
      <c r="Q756" s="132" t="s">
        <v>1108</v>
      </c>
    </row>
    <row r="757" spans="1:17" x14ac:dyDescent="0.2">
      <c r="A757" t="s">
        <v>274</v>
      </c>
      <c r="B757" s="141">
        <f t="shared" si="11"/>
        <v>3.62</v>
      </c>
      <c r="C757" s="280">
        <v>45687</v>
      </c>
      <c r="D757" s="279">
        <v>45688</v>
      </c>
      <c r="E757" s="279">
        <v>45689</v>
      </c>
      <c r="F757" s="132"/>
      <c r="G757" s="132" t="s">
        <v>1108</v>
      </c>
      <c r="H757" s="132" t="s">
        <v>373</v>
      </c>
      <c r="I757" s="132" t="s">
        <v>1100</v>
      </c>
      <c r="J757" s="132" t="s">
        <v>1853</v>
      </c>
      <c r="K757" s="132" t="s">
        <v>1731</v>
      </c>
      <c r="L757" s="132" t="s">
        <v>1854</v>
      </c>
      <c r="M757" s="132" t="s">
        <v>2882</v>
      </c>
      <c r="N757" s="132" t="s">
        <v>1117</v>
      </c>
      <c r="O757" s="132" t="s">
        <v>2883</v>
      </c>
      <c r="P757" s="132" t="s">
        <v>2879</v>
      </c>
      <c r="Q757" s="132" t="s">
        <v>1108</v>
      </c>
    </row>
    <row r="758" spans="1:17" x14ac:dyDescent="0.2">
      <c r="A758" t="s">
        <v>274</v>
      </c>
      <c r="B758" s="141">
        <f t="shared" si="11"/>
        <v>3.6</v>
      </c>
      <c r="C758" s="280">
        <v>45688</v>
      </c>
      <c r="D758" s="279">
        <v>45688</v>
      </c>
      <c r="E758" s="279">
        <v>45689</v>
      </c>
      <c r="F758" s="132"/>
      <c r="G758" s="132" t="s">
        <v>1108</v>
      </c>
      <c r="H758" s="132" t="s">
        <v>373</v>
      </c>
      <c r="I758" s="132" t="s">
        <v>1100</v>
      </c>
      <c r="J758" s="132" t="s">
        <v>1853</v>
      </c>
      <c r="K758" s="132" t="s">
        <v>1755</v>
      </c>
      <c r="L758" s="132" t="s">
        <v>1962</v>
      </c>
      <c r="M758" s="132" t="s">
        <v>2884</v>
      </c>
      <c r="N758" s="132" t="s">
        <v>1112</v>
      </c>
      <c r="O758" s="132" t="s">
        <v>2885</v>
      </c>
      <c r="P758" s="132" t="s">
        <v>2879</v>
      </c>
      <c r="Q758" s="132" t="s">
        <v>1108</v>
      </c>
    </row>
    <row r="759" spans="1:17" x14ac:dyDescent="0.2">
      <c r="A759" t="s">
        <v>274</v>
      </c>
      <c r="B759" s="141">
        <f t="shared" ref="B759:B822" si="12">_xlfn.NUMBERVALUE(L759)*0.01</f>
        <v>3.6</v>
      </c>
      <c r="C759" s="280">
        <v>45688</v>
      </c>
      <c r="D759" s="279">
        <v>45688</v>
      </c>
      <c r="E759" s="279">
        <v>45689</v>
      </c>
      <c r="F759" s="132"/>
      <c r="G759" s="132" t="s">
        <v>1108</v>
      </c>
      <c r="H759" s="132" t="s">
        <v>373</v>
      </c>
      <c r="I759" s="132" t="s">
        <v>1100</v>
      </c>
      <c r="J759" s="132" t="s">
        <v>1853</v>
      </c>
      <c r="K759" s="132" t="s">
        <v>1755</v>
      </c>
      <c r="L759" s="132" t="s">
        <v>1962</v>
      </c>
      <c r="M759" s="132" t="s">
        <v>2886</v>
      </c>
      <c r="N759" s="132" t="s">
        <v>1112</v>
      </c>
      <c r="O759" s="132" t="s">
        <v>2887</v>
      </c>
      <c r="P759" s="132" t="s">
        <v>2879</v>
      </c>
      <c r="Q759" s="132" t="s">
        <v>1108</v>
      </c>
    </row>
    <row r="760" spans="1:17" x14ac:dyDescent="0.2">
      <c r="A760" t="s">
        <v>274</v>
      </c>
      <c r="B760" s="141">
        <f t="shared" si="12"/>
        <v>3.6</v>
      </c>
      <c r="C760" s="280">
        <v>45688</v>
      </c>
      <c r="D760" s="279">
        <v>45688</v>
      </c>
      <c r="E760" s="279">
        <v>45689</v>
      </c>
      <c r="F760" s="132"/>
      <c r="G760" s="132" t="s">
        <v>1108</v>
      </c>
      <c r="H760" s="132" t="s">
        <v>373</v>
      </c>
      <c r="I760" s="132" t="s">
        <v>1100</v>
      </c>
      <c r="J760" s="132" t="s">
        <v>1853</v>
      </c>
      <c r="K760" s="132" t="s">
        <v>1755</v>
      </c>
      <c r="L760" s="132" t="s">
        <v>1962</v>
      </c>
      <c r="M760" s="132" t="s">
        <v>2888</v>
      </c>
      <c r="N760" s="132" t="s">
        <v>1112</v>
      </c>
      <c r="O760" s="132" t="s">
        <v>2889</v>
      </c>
      <c r="P760" s="132" t="s">
        <v>2879</v>
      </c>
      <c r="Q760" s="132" t="s">
        <v>1108</v>
      </c>
    </row>
    <row r="761" spans="1:17" x14ac:dyDescent="0.2">
      <c r="A761" t="s">
        <v>274</v>
      </c>
      <c r="B761" s="141">
        <f t="shared" si="12"/>
        <v>3.62</v>
      </c>
      <c r="C761" s="280">
        <v>45688</v>
      </c>
      <c r="D761" s="279">
        <v>45690</v>
      </c>
      <c r="E761" s="279">
        <v>45691</v>
      </c>
      <c r="F761" s="132"/>
      <c r="G761" s="132" t="s">
        <v>1923</v>
      </c>
      <c r="H761" s="132" t="s">
        <v>373</v>
      </c>
      <c r="I761" s="132" t="s">
        <v>1100</v>
      </c>
      <c r="J761" s="132" t="s">
        <v>1853</v>
      </c>
      <c r="K761" s="132" t="s">
        <v>1731</v>
      </c>
      <c r="L761" s="132" t="s">
        <v>1854</v>
      </c>
      <c r="M761" s="132" t="s">
        <v>2890</v>
      </c>
      <c r="N761" s="132" t="s">
        <v>1105</v>
      </c>
      <c r="O761" s="132" t="s">
        <v>2891</v>
      </c>
      <c r="P761" s="132" t="s">
        <v>2892</v>
      </c>
      <c r="Q761" s="132" t="s">
        <v>1108</v>
      </c>
    </row>
    <row r="762" spans="1:17" x14ac:dyDescent="0.2">
      <c r="A762" t="s">
        <v>274</v>
      </c>
      <c r="B762" s="141">
        <f t="shared" si="12"/>
        <v>3.62</v>
      </c>
      <c r="C762" s="280">
        <v>45688</v>
      </c>
      <c r="D762" s="279">
        <v>45690</v>
      </c>
      <c r="E762" s="279">
        <v>45691</v>
      </c>
      <c r="F762" s="132"/>
      <c r="G762" s="132" t="s">
        <v>1108</v>
      </c>
      <c r="H762" s="132" t="s">
        <v>373</v>
      </c>
      <c r="I762" s="132" t="s">
        <v>1100</v>
      </c>
      <c r="J762" s="132" t="s">
        <v>1853</v>
      </c>
      <c r="K762" s="132" t="s">
        <v>1731</v>
      </c>
      <c r="L762" s="132" t="s">
        <v>1854</v>
      </c>
      <c r="M762" s="132" t="s">
        <v>2893</v>
      </c>
      <c r="N762" s="132" t="s">
        <v>1117</v>
      </c>
      <c r="O762" s="132" t="s">
        <v>2894</v>
      </c>
      <c r="P762" s="132" t="s">
        <v>2892</v>
      </c>
      <c r="Q762" s="132" t="s">
        <v>1108</v>
      </c>
    </row>
    <row r="763" spans="1:17" x14ac:dyDescent="0.2">
      <c r="A763" t="s">
        <v>274</v>
      </c>
      <c r="B763" s="141">
        <f t="shared" si="12"/>
        <v>3.62</v>
      </c>
      <c r="C763" s="280">
        <v>45688</v>
      </c>
      <c r="D763" s="279">
        <v>45690</v>
      </c>
      <c r="E763" s="279">
        <v>45691</v>
      </c>
      <c r="F763" s="132"/>
      <c r="G763" s="132" t="s">
        <v>1813</v>
      </c>
      <c r="H763" s="132" t="s">
        <v>373</v>
      </c>
      <c r="I763" s="132" t="s">
        <v>1100</v>
      </c>
      <c r="J763" s="132" t="s">
        <v>1853</v>
      </c>
      <c r="K763" s="132" t="s">
        <v>1731</v>
      </c>
      <c r="L763" s="132" t="s">
        <v>1854</v>
      </c>
      <c r="M763" s="132" t="s">
        <v>2895</v>
      </c>
      <c r="N763" s="132" t="s">
        <v>1105</v>
      </c>
      <c r="O763" s="132" t="s">
        <v>2896</v>
      </c>
      <c r="P763" s="132" t="s">
        <v>2892</v>
      </c>
      <c r="Q763" s="132" t="s">
        <v>1108</v>
      </c>
    </row>
    <row r="764" spans="1:17" x14ac:dyDescent="0.2">
      <c r="A764" t="s">
        <v>275</v>
      </c>
      <c r="B764" s="141">
        <f t="shared" si="12"/>
        <v>5.1000000000000005</v>
      </c>
      <c r="C764" s="280">
        <v>45688</v>
      </c>
      <c r="D764" s="279">
        <v>45690</v>
      </c>
      <c r="E764" s="279">
        <v>45691</v>
      </c>
      <c r="F764" s="132"/>
      <c r="G764" s="132" t="s">
        <v>1868</v>
      </c>
      <c r="H764" s="132" t="s">
        <v>373</v>
      </c>
      <c r="I764" s="132" t="s">
        <v>1100</v>
      </c>
      <c r="J764" s="132" t="s">
        <v>1654</v>
      </c>
      <c r="K764" s="132" t="s">
        <v>1655</v>
      </c>
      <c r="L764" s="132" t="s">
        <v>1656</v>
      </c>
      <c r="M764" s="132" t="s">
        <v>2897</v>
      </c>
      <c r="N764" s="132" t="s">
        <v>1105</v>
      </c>
      <c r="O764" s="132" t="s">
        <v>2898</v>
      </c>
      <c r="P764" s="132" t="s">
        <v>2892</v>
      </c>
      <c r="Q764" s="132" t="s">
        <v>1108</v>
      </c>
    </row>
    <row r="765" spans="1:17" x14ac:dyDescent="0.2">
      <c r="A765" t="s">
        <v>274</v>
      </c>
      <c r="B765" s="141">
        <f t="shared" si="12"/>
        <v>3.62</v>
      </c>
      <c r="C765" s="280">
        <v>45689</v>
      </c>
      <c r="D765" s="279">
        <v>45690</v>
      </c>
      <c r="E765" s="279">
        <v>45691</v>
      </c>
      <c r="F765" s="132"/>
      <c r="G765" s="132" t="s">
        <v>1108</v>
      </c>
      <c r="H765" s="132" t="s">
        <v>373</v>
      </c>
      <c r="I765" s="132" t="s">
        <v>1100</v>
      </c>
      <c r="J765" s="132" t="s">
        <v>1853</v>
      </c>
      <c r="K765" s="132" t="s">
        <v>1731</v>
      </c>
      <c r="L765" s="132" t="s">
        <v>1854</v>
      </c>
      <c r="M765" s="132" t="s">
        <v>2899</v>
      </c>
      <c r="N765" s="132" t="s">
        <v>1117</v>
      </c>
      <c r="O765" s="132" t="s">
        <v>2900</v>
      </c>
      <c r="P765" s="132" t="s">
        <v>2892</v>
      </c>
      <c r="Q765" s="132" t="s">
        <v>1108</v>
      </c>
    </row>
    <row r="766" spans="1:17" x14ac:dyDescent="0.2">
      <c r="A766" t="s">
        <v>275</v>
      </c>
      <c r="B766" s="141">
        <f t="shared" si="12"/>
        <v>5.1000000000000005</v>
      </c>
      <c r="C766" s="280">
        <v>45690</v>
      </c>
      <c r="D766" s="279">
        <v>45691</v>
      </c>
      <c r="E766" s="279">
        <v>45691</v>
      </c>
      <c r="F766" s="132"/>
      <c r="G766" s="132" t="s">
        <v>1108</v>
      </c>
      <c r="H766" s="132" t="s">
        <v>373</v>
      </c>
      <c r="I766" s="132" t="s">
        <v>1100</v>
      </c>
      <c r="J766" s="132" t="s">
        <v>1654</v>
      </c>
      <c r="K766" s="132" t="s">
        <v>1655</v>
      </c>
      <c r="L766" s="132" t="s">
        <v>1656</v>
      </c>
      <c r="M766" s="132" t="s">
        <v>2901</v>
      </c>
      <c r="N766" s="132" t="s">
        <v>1117</v>
      </c>
      <c r="O766" s="132" t="s">
        <v>2902</v>
      </c>
      <c r="P766" s="132" t="s">
        <v>2892</v>
      </c>
      <c r="Q766" s="132" t="s">
        <v>1108</v>
      </c>
    </row>
    <row r="767" spans="1:17" x14ac:dyDescent="0.2">
      <c r="A767" t="s">
        <v>274</v>
      </c>
      <c r="B767" s="141">
        <f t="shared" si="12"/>
        <v>3.6</v>
      </c>
      <c r="C767" s="280">
        <v>45688</v>
      </c>
      <c r="D767" s="279">
        <v>45691</v>
      </c>
      <c r="E767" s="279">
        <v>45692</v>
      </c>
      <c r="F767" s="132"/>
      <c r="G767" s="132" t="s">
        <v>1108</v>
      </c>
      <c r="H767" s="132" t="s">
        <v>373</v>
      </c>
      <c r="I767" s="132" t="s">
        <v>1100</v>
      </c>
      <c r="J767" s="132" t="s">
        <v>1853</v>
      </c>
      <c r="K767" s="132" t="s">
        <v>1755</v>
      </c>
      <c r="L767" s="132" t="s">
        <v>1962</v>
      </c>
      <c r="M767" s="132" t="s">
        <v>2903</v>
      </c>
      <c r="N767" s="132" t="s">
        <v>1112</v>
      </c>
      <c r="O767" s="132" t="s">
        <v>2904</v>
      </c>
      <c r="P767" s="132" t="s">
        <v>2905</v>
      </c>
      <c r="Q767" s="132" t="s">
        <v>1108</v>
      </c>
    </row>
    <row r="768" spans="1:17" x14ac:dyDescent="0.2">
      <c r="A768" t="s">
        <v>274</v>
      </c>
      <c r="B768" s="141">
        <f t="shared" si="12"/>
        <v>3.6</v>
      </c>
      <c r="C768" s="280">
        <v>45688</v>
      </c>
      <c r="D768" s="279">
        <v>45691</v>
      </c>
      <c r="E768" s="279">
        <v>45692</v>
      </c>
      <c r="F768" s="132"/>
      <c r="G768" s="132" t="s">
        <v>1108</v>
      </c>
      <c r="H768" s="132" t="s">
        <v>373</v>
      </c>
      <c r="I768" s="132" t="s">
        <v>1100</v>
      </c>
      <c r="J768" s="132" t="s">
        <v>1853</v>
      </c>
      <c r="K768" s="132" t="s">
        <v>1755</v>
      </c>
      <c r="L768" s="132" t="s">
        <v>1962</v>
      </c>
      <c r="M768" s="132" t="s">
        <v>2906</v>
      </c>
      <c r="N768" s="132" t="s">
        <v>1112</v>
      </c>
      <c r="O768" s="132" t="s">
        <v>2907</v>
      </c>
      <c r="P768" s="132" t="s">
        <v>2905</v>
      </c>
      <c r="Q768" s="132" t="s">
        <v>1108</v>
      </c>
    </row>
    <row r="769" spans="1:17" x14ac:dyDescent="0.2">
      <c r="A769" t="s">
        <v>82</v>
      </c>
      <c r="B769" s="141">
        <f t="shared" si="12"/>
        <v>22.26</v>
      </c>
      <c r="C769" s="280">
        <v>45691</v>
      </c>
      <c r="D769" s="279">
        <v>45692</v>
      </c>
      <c r="E769" s="279">
        <v>45693</v>
      </c>
      <c r="F769" s="132"/>
      <c r="G769" s="132" t="s">
        <v>2908</v>
      </c>
      <c r="H769" s="132" t="s">
        <v>373</v>
      </c>
      <c r="I769" s="132" t="s">
        <v>1100</v>
      </c>
      <c r="J769" s="132" t="s">
        <v>2909</v>
      </c>
      <c r="K769" s="132" t="s">
        <v>2910</v>
      </c>
      <c r="L769" s="132" t="s">
        <v>2911</v>
      </c>
      <c r="M769" s="132" t="s">
        <v>2912</v>
      </c>
      <c r="N769" s="132" t="s">
        <v>1105</v>
      </c>
      <c r="O769" s="132" t="s">
        <v>2913</v>
      </c>
      <c r="P769" s="132" t="s">
        <v>2914</v>
      </c>
      <c r="Q769" s="132" t="s">
        <v>1108</v>
      </c>
    </row>
    <row r="770" spans="1:17" x14ac:dyDescent="0.2">
      <c r="A770" t="s">
        <v>275</v>
      </c>
      <c r="B770" s="141">
        <f t="shared" si="12"/>
        <v>5.0600000000000005</v>
      </c>
      <c r="C770" s="280">
        <v>45691</v>
      </c>
      <c r="D770" s="279">
        <v>45692</v>
      </c>
      <c r="E770" s="279">
        <v>45693</v>
      </c>
      <c r="F770" s="132"/>
      <c r="G770" s="132" t="s">
        <v>1108</v>
      </c>
      <c r="H770" s="132" t="s">
        <v>373</v>
      </c>
      <c r="I770" s="132" t="s">
        <v>1100</v>
      </c>
      <c r="J770" s="132" t="s">
        <v>1654</v>
      </c>
      <c r="K770" s="132" t="s">
        <v>1102</v>
      </c>
      <c r="L770" s="132" t="s">
        <v>1674</v>
      </c>
      <c r="M770" s="132" t="s">
        <v>2915</v>
      </c>
      <c r="N770" s="132" t="s">
        <v>1112</v>
      </c>
      <c r="O770" s="132" t="s">
        <v>2916</v>
      </c>
      <c r="P770" s="132" t="s">
        <v>2914</v>
      </c>
      <c r="Q770" s="132" t="s">
        <v>1108</v>
      </c>
    </row>
    <row r="771" spans="1:17" x14ac:dyDescent="0.2">
      <c r="A771" t="s">
        <v>275</v>
      </c>
      <c r="B771" s="141">
        <f t="shared" si="12"/>
        <v>5.1000000000000005</v>
      </c>
      <c r="C771" s="280">
        <v>45692</v>
      </c>
      <c r="D771" s="279">
        <v>45693</v>
      </c>
      <c r="E771" s="279">
        <v>45693</v>
      </c>
      <c r="F771" s="132"/>
      <c r="G771" s="132" t="s">
        <v>1481</v>
      </c>
      <c r="H771" s="132" t="s">
        <v>373</v>
      </c>
      <c r="I771" s="132" t="s">
        <v>1100</v>
      </c>
      <c r="J771" s="132" t="s">
        <v>1654</v>
      </c>
      <c r="K771" s="132" t="s">
        <v>1655</v>
      </c>
      <c r="L771" s="132" t="s">
        <v>1656</v>
      </c>
      <c r="M771" s="132" t="s">
        <v>2917</v>
      </c>
      <c r="N771" s="132" t="s">
        <v>1105</v>
      </c>
      <c r="O771" s="132" t="s">
        <v>2918</v>
      </c>
      <c r="P771" s="132" t="s">
        <v>2914</v>
      </c>
      <c r="Q771" s="132" t="s">
        <v>1108</v>
      </c>
    </row>
    <row r="772" spans="1:17" x14ac:dyDescent="0.2">
      <c r="A772" t="s">
        <v>274</v>
      </c>
      <c r="B772" s="141">
        <f t="shared" si="12"/>
        <v>3.6</v>
      </c>
      <c r="C772" s="280">
        <v>45692</v>
      </c>
      <c r="D772" s="279">
        <v>45693</v>
      </c>
      <c r="E772" s="279">
        <v>45694</v>
      </c>
      <c r="F772" s="132"/>
      <c r="G772" s="132" t="s">
        <v>1108</v>
      </c>
      <c r="H772" s="132" t="s">
        <v>373</v>
      </c>
      <c r="I772" s="132" t="s">
        <v>1100</v>
      </c>
      <c r="J772" s="132" t="s">
        <v>1853</v>
      </c>
      <c r="K772" s="132" t="s">
        <v>1755</v>
      </c>
      <c r="L772" s="132" t="s">
        <v>1962</v>
      </c>
      <c r="M772" s="132" t="s">
        <v>2919</v>
      </c>
      <c r="N772" s="132" t="s">
        <v>1112</v>
      </c>
      <c r="O772" s="132" t="s">
        <v>2920</v>
      </c>
      <c r="P772" s="132" t="s">
        <v>2921</v>
      </c>
      <c r="Q772" s="132" t="s">
        <v>1108</v>
      </c>
    </row>
    <row r="773" spans="1:17" x14ac:dyDescent="0.2">
      <c r="A773" t="s">
        <v>274</v>
      </c>
      <c r="B773" s="141">
        <f t="shared" si="12"/>
        <v>3.6</v>
      </c>
      <c r="C773" s="280">
        <v>45693</v>
      </c>
      <c r="D773" s="279">
        <v>45693</v>
      </c>
      <c r="E773" s="279">
        <v>45694</v>
      </c>
      <c r="F773" s="132"/>
      <c r="G773" s="132" t="s">
        <v>1108</v>
      </c>
      <c r="H773" s="132" t="s">
        <v>373</v>
      </c>
      <c r="I773" s="132" t="s">
        <v>1100</v>
      </c>
      <c r="J773" s="132" t="s">
        <v>1853</v>
      </c>
      <c r="K773" s="132" t="s">
        <v>1755</v>
      </c>
      <c r="L773" s="132" t="s">
        <v>1962</v>
      </c>
      <c r="M773" s="132" t="s">
        <v>2922</v>
      </c>
      <c r="N773" s="132" t="s">
        <v>1112</v>
      </c>
      <c r="O773" s="132" t="s">
        <v>2923</v>
      </c>
      <c r="P773" s="132" t="s">
        <v>2921</v>
      </c>
      <c r="Q773" s="132" t="s">
        <v>1108</v>
      </c>
    </row>
    <row r="774" spans="1:17" x14ac:dyDescent="0.2">
      <c r="A774" t="s">
        <v>274</v>
      </c>
      <c r="B774" s="141">
        <f t="shared" si="12"/>
        <v>3.62</v>
      </c>
      <c r="C774" s="280">
        <v>45693</v>
      </c>
      <c r="D774" s="279">
        <v>45693</v>
      </c>
      <c r="E774" s="279">
        <v>45694</v>
      </c>
      <c r="F774" s="132"/>
      <c r="G774" s="132" t="s">
        <v>1108</v>
      </c>
      <c r="H774" s="132" t="s">
        <v>373</v>
      </c>
      <c r="I774" s="132" t="s">
        <v>1100</v>
      </c>
      <c r="J774" s="132" t="s">
        <v>1853</v>
      </c>
      <c r="K774" s="132" t="s">
        <v>1731</v>
      </c>
      <c r="L774" s="132" t="s">
        <v>1854</v>
      </c>
      <c r="M774" s="132" t="s">
        <v>2924</v>
      </c>
      <c r="N774" s="132" t="s">
        <v>1117</v>
      </c>
      <c r="O774" s="132" t="s">
        <v>2925</v>
      </c>
      <c r="P774" s="132" t="s">
        <v>2921</v>
      </c>
      <c r="Q774" s="132" t="s">
        <v>1108</v>
      </c>
    </row>
    <row r="775" spans="1:17" x14ac:dyDescent="0.2">
      <c r="A775" t="s">
        <v>274</v>
      </c>
      <c r="B775" s="141">
        <f t="shared" si="12"/>
        <v>3.6</v>
      </c>
      <c r="C775" s="280">
        <v>45693</v>
      </c>
      <c r="D775" s="279">
        <v>45694</v>
      </c>
      <c r="E775" s="279">
        <v>45695</v>
      </c>
      <c r="F775" s="132"/>
      <c r="G775" s="132" t="s">
        <v>1108</v>
      </c>
      <c r="H775" s="132" t="s">
        <v>373</v>
      </c>
      <c r="I775" s="132" t="s">
        <v>1100</v>
      </c>
      <c r="J775" s="132" t="s">
        <v>1853</v>
      </c>
      <c r="K775" s="132" t="s">
        <v>1755</v>
      </c>
      <c r="L775" s="132" t="s">
        <v>1962</v>
      </c>
      <c r="M775" s="132" t="s">
        <v>2926</v>
      </c>
      <c r="N775" s="132" t="s">
        <v>1112</v>
      </c>
      <c r="O775" s="132" t="s">
        <v>2927</v>
      </c>
      <c r="P775" s="132" t="s">
        <v>2928</v>
      </c>
      <c r="Q775" s="132" t="s">
        <v>1108</v>
      </c>
    </row>
    <row r="776" spans="1:17" x14ac:dyDescent="0.2">
      <c r="A776" t="s">
        <v>275</v>
      </c>
      <c r="B776" s="141">
        <f t="shared" si="12"/>
        <v>5.1000000000000005</v>
      </c>
      <c r="C776" s="280">
        <v>45694</v>
      </c>
      <c r="D776" s="279">
        <v>45695</v>
      </c>
      <c r="E776" s="279">
        <v>45695</v>
      </c>
      <c r="F776" s="132"/>
      <c r="G776" s="132" t="s">
        <v>1108</v>
      </c>
      <c r="H776" s="132" t="s">
        <v>373</v>
      </c>
      <c r="I776" s="132" t="s">
        <v>1100</v>
      </c>
      <c r="J776" s="132" t="s">
        <v>1654</v>
      </c>
      <c r="K776" s="132" t="s">
        <v>1655</v>
      </c>
      <c r="L776" s="132" t="s">
        <v>1656</v>
      </c>
      <c r="M776" s="132" t="s">
        <v>2929</v>
      </c>
      <c r="N776" s="132" t="s">
        <v>1117</v>
      </c>
      <c r="O776" s="132" t="s">
        <v>2930</v>
      </c>
      <c r="P776" s="132" t="s">
        <v>2928</v>
      </c>
      <c r="Q776" s="132" t="s">
        <v>1108</v>
      </c>
    </row>
    <row r="777" spans="1:17" x14ac:dyDescent="0.2">
      <c r="A777" t="s">
        <v>275</v>
      </c>
      <c r="B777" s="141">
        <f t="shared" si="12"/>
        <v>5.1000000000000005</v>
      </c>
      <c r="C777" s="280">
        <v>45694</v>
      </c>
      <c r="D777" s="279">
        <v>45695</v>
      </c>
      <c r="E777" s="279">
        <v>45695</v>
      </c>
      <c r="F777" s="132"/>
      <c r="G777" s="132" t="s">
        <v>1108</v>
      </c>
      <c r="H777" s="132" t="s">
        <v>373</v>
      </c>
      <c r="I777" s="132" t="s">
        <v>1100</v>
      </c>
      <c r="J777" s="132" t="s">
        <v>1654</v>
      </c>
      <c r="K777" s="132" t="s">
        <v>1655</v>
      </c>
      <c r="L777" s="132" t="s">
        <v>1656</v>
      </c>
      <c r="M777" s="132" t="s">
        <v>2931</v>
      </c>
      <c r="N777" s="132" t="s">
        <v>1117</v>
      </c>
      <c r="O777" s="132" t="s">
        <v>2932</v>
      </c>
      <c r="P777" s="132" t="s">
        <v>2928</v>
      </c>
      <c r="Q777" s="132" t="s">
        <v>1108</v>
      </c>
    </row>
    <row r="778" spans="1:17" x14ac:dyDescent="0.2">
      <c r="A778" t="s">
        <v>274</v>
      </c>
      <c r="B778" s="141">
        <f t="shared" si="12"/>
        <v>3.62</v>
      </c>
      <c r="C778" s="280">
        <v>45694</v>
      </c>
      <c r="D778" s="279">
        <v>45695</v>
      </c>
      <c r="E778" s="279">
        <v>45695</v>
      </c>
      <c r="F778" s="132"/>
      <c r="G778" s="132" t="s">
        <v>1449</v>
      </c>
      <c r="H778" s="132" t="s">
        <v>373</v>
      </c>
      <c r="I778" s="132" t="s">
        <v>1100</v>
      </c>
      <c r="J778" s="132" t="s">
        <v>1853</v>
      </c>
      <c r="K778" s="132" t="s">
        <v>1731</v>
      </c>
      <c r="L778" s="132" t="s">
        <v>1854</v>
      </c>
      <c r="M778" s="132" t="s">
        <v>2933</v>
      </c>
      <c r="N778" s="132" t="s">
        <v>1105</v>
      </c>
      <c r="O778" s="132" t="s">
        <v>2934</v>
      </c>
      <c r="P778" s="132" t="s">
        <v>2928</v>
      </c>
      <c r="Q778" s="132" t="s">
        <v>1108</v>
      </c>
    </row>
    <row r="779" spans="1:17" x14ac:dyDescent="0.2">
      <c r="A779" t="s">
        <v>275</v>
      </c>
      <c r="B779" s="141">
        <f t="shared" si="12"/>
        <v>5.1000000000000005</v>
      </c>
      <c r="C779" s="280">
        <v>45694</v>
      </c>
      <c r="D779" s="279">
        <v>45695</v>
      </c>
      <c r="E779" s="279">
        <v>45695</v>
      </c>
      <c r="F779" s="132"/>
      <c r="G779" s="132" t="s">
        <v>2935</v>
      </c>
      <c r="H779" s="132" t="s">
        <v>373</v>
      </c>
      <c r="I779" s="132" t="s">
        <v>1100</v>
      </c>
      <c r="J779" s="132" t="s">
        <v>1654</v>
      </c>
      <c r="K779" s="132" t="s">
        <v>1655</v>
      </c>
      <c r="L779" s="132" t="s">
        <v>1656</v>
      </c>
      <c r="M779" s="132" t="s">
        <v>2936</v>
      </c>
      <c r="N779" s="132" t="s">
        <v>1105</v>
      </c>
      <c r="O779" s="132" t="s">
        <v>2937</v>
      </c>
      <c r="P779" s="132" t="s">
        <v>2928</v>
      </c>
      <c r="Q779" s="132" t="s">
        <v>1108</v>
      </c>
    </row>
    <row r="780" spans="1:17" x14ac:dyDescent="0.2">
      <c r="A780" t="s">
        <v>274</v>
      </c>
      <c r="B780" s="141">
        <f t="shared" si="12"/>
        <v>3.6</v>
      </c>
      <c r="C780" s="280">
        <v>45694</v>
      </c>
      <c r="D780" s="279">
        <v>45694</v>
      </c>
      <c r="E780" s="279">
        <v>45695</v>
      </c>
      <c r="F780" s="132"/>
      <c r="G780" s="132" t="s">
        <v>1108</v>
      </c>
      <c r="H780" s="132" t="s">
        <v>373</v>
      </c>
      <c r="I780" s="132" t="s">
        <v>1100</v>
      </c>
      <c r="J780" s="132" t="s">
        <v>1853</v>
      </c>
      <c r="K780" s="132" t="s">
        <v>1755</v>
      </c>
      <c r="L780" s="132" t="s">
        <v>1962</v>
      </c>
      <c r="M780" s="132" t="s">
        <v>2938</v>
      </c>
      <c r="N780" s="132" t="s">
        <v>1112</v>
      </c>
      <c r="O780" s="132" t="s">
        <v>2939</v>
      </c>
      <c r="P780" s="132" t="s">
        <v>2928</v>
      </c>
      <c r="Q780" s="132" t="s">
        <v>1108</v>
      </c>
    </row>
    <row r="781" spans="1:17" x14ac:dyDescent="0.2">
      <c r="A781" t="s">
        <v>274</v>
      </c>
      <c r="B781" s="141">
        <f t="shared" si="12"/>
        <v>3.62</v>
      </c>
      <c r="C781" s="280">
        <v>45694</v>
      </c>
      <c r="D781" s="279">
        <v>45695</v>
      </c>
      <c r="E781" s="279">
        <v>45695</v>
      </c>
      <c r="F781" s="132"/>
      <c r="G781" s="132" t="s">
        <v>1108</v>
      </c>
      <c r="H781" s="132" t="s">
        <v>373</v>
      </c>
      <c r="I781" s="132" t="s">
        <v>1100</v>
      </c>
      <c r="J781" s="132" t="s">
        <v>1853</v>
      </c>
      <c r="K781" s="132" t="s">
        <v>1731</v>
      </c>
      <c r="L781" s="132" t="s">
        <v>1854</v>
      </c>
      <c r="M781" s="132" t="s">
        <v>2940</v>
      </c>
      <c r="N781" s="132" t="s">
        <v>1117</v>
      </c>
      <c r="O781" s="132" t="s">
        <v>2941</v>
      </c>
      <c r="P781" s="132" t="s">
        <v>2928</v>
      </c>
      <c r="Q781" s="132" t="s">
        <v>1108</v>
      </c>
    </row>
    <row r="782" spans="1:17" x14ac:dyDescent="0.2">
      <c r="A782" t="s">
        <v>274</v>
      </c>
      <c r="B782" s="141">
        <f t="shared" si="12"/>
        <v>3.6</v>
      </c>
      <c r="C782" s="280">
        <v>45694</v>
      </c>
      <c r="D782" s="279">
        <v>45694</v>
      </c>
      <c r="E782" s="279">
        <v>45695</v>
      </c>
      <c r="F782" s="132"/>
      <c r="G782" s="132" t="s">
        <v>1108</v>
      </c>
      <c r="H782" s="132" t="s">
        <v>373</v>
      </c>
      <c r="I782" s="132" t="s">
        <v>1100</v>
      </c>
      <c r="J782" s="132" t="s">
        <v>1853</v>
      </c>
      <c r="K782" s="132" t="s">
        <v>1755</v>
      </c>
      <c r="L782" s="132" t="s">
        <v>1962</v>
      </c>
      <c r="M782" s="132" t="s">
        <v>2942</v>
      </c>
      <c r="N782" s="132" t="s">
        <v>1112</v>
      </c>
      <c r="O782" s="132" t="s">
        <v>2943</v>
      </c>
      <c r="P782" s="132" t="s">
        <v>2928</v>
      </c>
      <c r="Q782" s="132" t="s">
        <v>1108</v>
      </c>
    </row>
    <row r="783" spans="1:17" x14ac:dyDescent="0.2">
      <c r="A783" t="s">
        <v>274</v>
      </c>
      <c r="B783" s="141">
        <f t="shared" si="12"/>
        <v>3.62</v>
      </c>
      <c r="C783" s="280">
        <v>45694</v>
      </c>
      <c r="D783" s="279">
        <v>45695</v>
      </c>
      <c r="E783" s="279">
        <v>45695</v>
      </c>
      <c r="F783" s="132"/>
      <c r="G783" s="132" t="s">
        <v>1320</v>
      </c>
      <c r="H783" s="132" t="s">
        <v>373</v>
      </c>
      <c r="I783" s="132" t="s">
        <v>1100</v>
      </c>
      <c r="J783" s="132" t="s">
        <v>1853</v>
      </c>
      <c r="K783" s="132" t="s">
        <v>1731</v>
      </c>
      <c r="L783" s="132" t="s">
        <v>1854</v>
      </c>
      <c r="M783" s="132" t="s">
        <v>2944</v>
      </c>
      <c r="N783" s="132" t="s">
        <v>1105</v>
      </c>
      <c r="O783" s="132" t="s">
        <v>2945</v>
      </c>
      <c r="P783" s="132" t="s">
        <v>2928</v>
      </c>
      <c r="Q783" s="132" t="s">
        <v>1108</v>
      </c>
    </row>
    <row r="784" spans="1:17" x14ac:dyDescent="0.2">
      <c r="A784" t="s">
        <v>274</v>
      </c>
      <c r="B784" s="141">
        <f t="shared" si="12"/>
        <v>3.62</v>
      </c>
      <c r="C784" s="280">
        <v>45694</v>
      </c>
      <c r="D784" s="279">
        <v>45694</v>
      </c>
      <c r="E784" s="279">
        <v>45695</v>
      </c>
      <c r="F784" s="132"/>
      <c r="G784" s="132" t="s">
        <v>1108</v>
      </c>
      <c r="H784" s="132" t="s">
        <v>373</v>
      </c>
      <c r="I784" s="132" t="s">
        <v>1100</v>
      </c>
      <c r="J784" s="132" t="s">
        <v>1853</v>
      </c>
      <c r="K784" s="132" t="s">
        <v>1731</v>
      </c>
      <c r="L784" s="132" t="s">
        <v>1854</v>
      </c>
      <c r="M784" s="132" t="s">
        <v>2946</v>
      </c>
      <c r="N784" s="132" t="s">
        <v>1117</v>
      </c>
      <c r="O784" s="132" t="s">
        <v>2947</v>
      </c>
      <c r="P784" s="132" t="s">
        <v>2928</v>
      </c>
      <c r="Q784" s="132" t="s">
        <v>1108</v>
      </c>
    </row>
    <row r="785" spans="1:17" x14ac:dyDescent="0.2">
      <c r="A785" t="s">
        <v>275</v>
      </c>
      <c r="B785" s="141">
        <f t="shared" si="12"/>
        <v>5.1000000000000005</v>
      </c>
      <c r="C785" s="280">
        <v>45694</v>
      </c>
      <c r="D785" s="279">
        <v>45695</v>
      </c>
      <c r="E785" s="279">
        <v>45695</v>
      </c>
      <c r="F785" s="132"/>
      <c r="G785" s="132" t="s">
        <v>1406</v>
      </c>
      <c r="H785" s="132" t="s">
        <v>373</v>
      </c>
      <c r="I785" s="132" t="s">
        <v>1100</v>
      </c>
      <c r="J785" s="132" t="s">
        <v>1654</v>
      </c>
      <c r="K785" s="132" t="s">
        <v>1655</v>
      </c>
      <c r="L785" s="132" t="s">
        <v>1656</v>
      </c>
      <c r="M785" s="132" t="s">
        <v>2948</v>
      </c>
      <c r="N785" s="132" t="s">
        <v>1105</v>
      </c>
      <c r="O785" s="132" t="s">
        <v>2949</v>
      </c>
      <c r="P785" s="132" t="s">
        <v>2928</v>
      </c>
      <c r="Q785" s="132" t="s">
        <v>1108</v>
      </c>
    </row>
    <row r="786" spans="1:17" x14ac:dyDescent="0.2">
      <c r="A786" t="s">
        <v>274</v>
      </c>
      <c r="B786" s="141">
        <f t="shared" si="12"/>
        <v>3.6</v>
      </c>
      <c r="C786" s="280">
        <v>45694</v>
      </c>
      <c r="D786" s="279">
        <v>45694</v>
      </c>
      <c r="E786" s="279">
        <v>45695</v>
      </c>
      <c r="F786" s="132"/>
      <c r="G786" s="132" t="s">
        <v>1108</v>
      </c>
      <c r="H786" s="132" t="s">
        <v>373</v>
      </c>
      <c r="I786" s="132" t="s">
        <v>1100</v>
      </c>
      <c r="J786" s="132" t="s">
        <v>1853</v>
      </c>
      <c r="K786" s="132" t="s">
        <v>1755</v>
      </c>
      <c r="L786" s="132" t="s">
        <v>1962</v>
      </c>
      <c r="M786" s="132" t="s">
        <v>2950</v>
      </c>
      <c r="N786" s="132" t="s">
        <v>1112</v>
      </c>
      <c r="O786" s="132" t="s">
        <v>2951</v>
      </c>
      <c r="P786" s="132" t="s">
        <v>2928</v>
      </c>
      <c r="Q786" s="132" t="s">
        <v>1108</v>
      </c>
    </row>
    <row r="787" spans="1:17" x14ac:dyDescent="0.2">
      <c r="A787" t="s">
        <v>274</v>
      </c>
      <c r="B787" s="141">
        <f t="shared" si="12"/>
        <v>3.62</v>
      </c>
      <c r="C787" s="280">
        <v>45694</v>
      </c>
      <c r="D787" s="279">
        <v>45695</v>
      </c>
      <c r="E787" s="279">
        <v>45696</v>
      </c>
      <c r="F787" s="132"/>
      <c r="G787" s="132" t="s">
        <v>1383</v>
      </c>
      <c r="H787" s="132" t="s">
        <v>373</v>
      </c>
      <c r="I787" s="132" t="s">
        <v>1100</v>
      </c>
      <c r="J787" s="132" t="s">
        <v>1853</v>
      </c>
      <c r="K787" s="132" t="s">
        <v>1731</v>
      </c>
      <c r="L787" s="132" t="s">
        <v>1854</v>
      </c>
      <c r="M787" s="132" t="s">
        <v>2952</v>
      </c>
      <c r="N787" s="132" t="s">
        <v>1105</v>
      </c>
      <c r="O787" s="132" t="s">
        <v>2953</v>
      </c>
      <c r="P787" s="132" t="s">
        <v>2954</v>
      </c>
      <c r="Q787" s="132" t="s">
        <v>1108</v>
      </c>
    </row>
    <row r="788" spans="1:17" x14ac:dyDescent="0.2">
      <c r="A788" t="s">
        <v>274</v>
      </c>
      <c r="B788" s="141">
        <f t="shared" si="12"/>
        <v>3.6</v>
      </c>
      <c r="C788" s="280">
        <v>45694</v>
      </c>
      <c r="D788" s="279">
        <v>45695</v>
      </c>
      <c r="E788" s="279">
        <v>45696</v>
      </c>
      <c r="F788" s="132"/>
      <c r="G788" s="132" t="s">
        <v>1108</v>
      </c>
      <c r="H788" s="132" t="s">
        <v>373</v>
      </c>
      <c r="I788" s="132" t="s">
        <v>1100</v>
      </c>
      <c r="J788" s="132" t="s">
        <v>1853</v>
      </c>
      <c r="K788" s="132" t="s">
        <v>1755</v>
      </c>
      <c r="L788" s="132" t="s">
        <v>1962</v>
      </c>
      <c r="M788" s="132" t="s">
        <v>2955</v>
      </c>
      <c r="N788" s="132" t="s">
        <v>1112</v>
      </c>
      <c r="O788" s="132" t="s">
        <v>2956</v>
      </c>
      <c r="P788" s="132" t="s">
        <v>2954</v>
      </c>
      <c r="Q788" s="132" t="s">
        <v>1108</v>
      </c>
    </row>
    <row r="789" spans="1:17" x14ac:dyDescent="0.2">
      <c r="A789" t="s">
        <v>274</v>
      </c>
      <c r="B789" s="141">
        <f t="shared" si="12"/>
        <v>3.62</v>
      </c>
      <c r="C789" s="280">
        <v>45694</v>
      </c>
      <c r="D789" s="279">
        <v>45695</v>
      </c>
      <c r="E789" s="279">
        <v>45696</v>
      </c>
      <c r="F789" s="132"/>
      <c r="G789" s="132" t="s">
        <v>1303</v>
      </c>
      <c r="H789" s="132" t="s">
        <v>373</v>
      </c>
      <c r="I789" s="132" t="s">
        <v>1100</v>
      </c>
      <c r="J789" s="132" t="s">
        <v>1853</v>
      </c>
      <c r="K789" s="132" t="s">
        <v>1731</v>
      </c>
      <c r="L789" s="132" t="s">
        <v>1854</v>
      </c>
      <c r="M789" s="132" t="s">
        <v>2957</v>
      </c>
      <c r="N789" s="132" t="s">
        <v>1105</v>
      </c>
      <c r="O789" s="132" t="s">
        <v>2958</v>
      </c>
      <c r="P789" s="132" t="s">
        <v>2954</v>
      </c>
      <c r="Q789" s="132" t="s">
        <v>1108</v>
      </c>
    </row>
    <row r="790" spans="1:17" x14ac:dyDescent="0.2">
      <c r="A790" t="s">
        <v>274</v>
      </c>
      <c r="B790" s="141">
        <f t="shared" si="12"/>
        <v>3.62</v>
      </c>
      <c r="C790" s="280">
        <v>45694</v>
      </c>
      <c r="D790" s="279">
        <v>45695</v>
      </c>
      <c r="E790" s="279">
        <v>45696</v>
      </c>
      <c r="F790" s="132"/>
      <c r="G790" s="132" t="s">
        <v>1751</v>
      </c>
      <c r="H790" s="132" t="s">
        <v>373</v>
      </c>
      <c r="I790" s="132" t="s">
        <v>1100</v>
      </c>
      <c r="J790" s="132" t="s">
        <v>1853</v>
      </c>
      <c r="K790" s="132" t="s">
        <v>1731</v>
      </c>
      <c r="L790" s="132" t="s">
        <v>1854</v>
      </c>
      <c r="M790" s="132" t="s">
        <v>2959</v>
      </c>
      <c r="N790" s="132" t="s">
        <v>1105</v>
      </c>
      <c r="O790" s="132" t="s">
        <v>2960</v>
      </c>
      <c r="P790" s="132" t="s">
        <v>2954</v>
      </c>
      <c r="Q790" s="132" t="s">
        <v>1108</v>
      </c>
    </row>
    <row r="791" spans="1:17" x14ac:dyDescent="0.2">
      <c r="A791" t="s">
        <v>175</v>
      </c>
      <c r="B791" s="141">
        <f t="shared" si="12"/>
        <v>2.14</v>
      </c>
      <c r="C791" s="280">
        <v>45698</v>
      </c>
      <c r="D791" s="279">
        <v>45698</v>
      </c>
      <c r="E791" s="279">
        <v>45699</v>
      </c>
      <c r="F791" s="132"/>
      <c r="G791" s="132" t="s">
        <v>1108</v>
      </c>
      <c r="H791" s="132" t="s">
        <v>373</v>
      </c>
      <c r="I791" s="132" t="s">
        <v>1100</v>
      </c>
      <c r="J791" s="132" t="s">
        <v>2225</v>
      </c>
      <c r="K791" s="132" t="s">
        <v>2256</v>
      </c>
      <c r="L791" s="132" t="s">
        <v>2257</v>
      </c>
      <c r="M791" s="132" t="s">
        <v>2961</v>
      </c>
      <c r="N791" s="132" t="s">
        <v>1112</v>
      </c>
      <c r="O791" s="132" t="s">
        <v>2962</v>
      </c>
      <c r="P791" s="132" t="s">
        <v>2963</v>
      </c>
      <c r="Q791" s="132" t="s">
        <v>1108</v>
      </c>
    </row>
    <row r="792" spans="1:17" x14ac:dyDescent="0.2">
      <c r="A792" t="s">
        <v>174</v>
      </c>
      <c r="B792" s="141">
        <f t="shared" si="12"/>
        <v>4.09</v>
      </c>
      <c r="C792" s="280">
        <v>45698</v>
      </c>
      <c r="D792" s="279">
        <v>45698</v>
      </c>
      <c r="E792" s="279">
        <v>45699</v>
      </c>
      <c r="F792" s="132"/>
      <c r="G792" s="132" t="s">
        <v>1108</v>
      </c>
      <c r="H792" s="132" t="s">
        <v>373</v>
      </c>
      <c r="I792" s="132" t="s">
        <v>1100</v>
      </c>
      <c r="J792" s="132" t="s">
        <v>1754</v>
      </c>
      <c r="K792" s="132" t="s">
        <v>1792</v>
      </c>
      <c r="L792" s="132" t="s">
        <v>1793</v>
      </c>
      <c r="M792" s="132" t="s">
        <v>2964</v>
      </c>
      <c r="N792" s="132" t="s">
        <v>1112</v>
      </c>
      <c r="O792" s="132" t="s">
        <v>2965</v>
      </c>
      <c r="P792" s="132" t="s">
        <v>2963</v>
      </c>
      <c r="Q792" s="132" t="s">
        <v>1108</v>
      </c>
    </row>
    <row r="793" spans="1:17" x14ac:dyDescent="0.2">
      <c r="A793" t="s">
        <v>175</v>
      </c>
      <c r="B793" s="141">
        <f t="shared" si="12"/>
        <v>2.14</v>
      </c>
      <c r="C793" s="280">
        <v>45698</v>
      </c>
      <c r="D793" s="279">
        <v>45698</v>
      </c>
      <c r="E793" s="279">
        <v>45699</v>
      </c>
      <c r="F793" s="132"/>
      <c r="G793" s="132" t="s">
        <v>1108</v>
      </c>
      <c r="H793" s="132" t="s">
        <v>373</v>
      </c>
      <c r="I793" s="132" t="s">
        <v>1100</v>
      </c>
      <c r="J793" s="132" t="s">
        <v>2225</v>
      </c>
      <c r="K793" s="132" t="s">
        <v>2256</v>
      </c>
      <c r="L793" s="132" t="s">
        <v>2257</v>
      </c>
      <c r="M793" s="132" t="s">
        <v>2966</v>
      </c>
      <c r="N793" s="132" t="s">
        <v>1112</v>
      </c>
      <c r="O793" s="281" t="s">
        <v>2967</v>
      </c>
      <c r="P793" s="132" t="s">
        <v>2963</v>
      </c>
      <c r="Q793" s="132" t="s">
        <v>1108</v>
      </c>
    </row>
    <row r="794" spans="1:17" x14ac:dyDescent="0.2">
      <c r="A794" t="s">
        <v>175</v>
      </c>
      <c r="B794" s="141">
        <f t="shared" si="12"/>
        <v>2.14</v>
      </c>
      <c r="C794" s="280">
        <v>45698</v>
      </c>
      <c r="D794" s="279">
        <v>45698</v>
      </c>
      <c r="E794" s="279">
        <v>45699</v>
      </c>
      <c r="F794" s="132"/>
      <c r="G794" s="132" t="s">
        <v>1108</v>
      </c>
      <c r="H794" s="132" t="s">
        <v>373</v>
      </c>
      <c r="I794" s="132" t="s">
        <v>1100</v>
      </c>
      <c r="J794" s="132" t="s">
        <v>2225</v>
      </c>
      <c r="K794" s="132" t="s">
        <v>2256</v>
      </c>
      <c r="L794" s="132" t="s">
        <v>2257</v>
      </c>
      <c r="M794" s="132" t="s">
        <v>2968</v>
      </c>
      <c r="N794" s="132" t="s">
        <v>1112</v>
      </c>
      <c r="O794" s="132" t="s">
        <v>2969</v>
      </c>
      <c r="P794" s="132" t="s">
        <v>2963</v>
      </c>
      <c r="Q794" s="132" t="s">
        <v>1108</v>
      </c>
    </row>
    <row r="795" spans="1:17" x14ac:dyDescent="0.2">
      <c r="A795" t="s">
        <v>175</v>
      </c>
      <c r="B795" s="141">
        <f t="shared" si="12"/>
        <v>2.14</v>
      </c>
      <c r="C795" s="280">
        <v>45698</v>
      </c>
      <c r="D795" s="279">
        <v>45698</v>
      </c>
      <c r="E795" s="279">
        <v>45699</v>
      </c>
      <c r="F795" s="132"/>
      <c r="G795" s="132" t="s">
        <v>1108</v>
      </c>
      <c r="H795" s="132" t="s">
        <v>373</v>
      </c>
      <c r="I795" s="132" t="s">
        <v>1100</v>
      </c>
      <c r="J795" s="132" t="s">
        <v>2225</v>
      </c>
      <c r="K795" s="132" t="s">
        <v>2256</v>
      </c>
      <c r="L795" s="132" t="s">
        <v>2257</v>
      </c>
      <c r="M795" s="132" t="s">
        <v>2970</v>
      </c>
      <c r="N795" s="132" t="s">
        <v>1112</v>
      </c>
      <c r="O795" s="132" t="s">
        <v>2971</v>
      </c>
      <c r="P795" s="132" t="s">
        <v>2963</v>
      </c>
      <c r="Q795" s="132" t="s">
        <v>1108</v>
      </c>
    </row>
    <row r="796" spans="1:17" x14ac:dyDescent="0.2">
      <c r="A796" t="s">
        <v>175</v>
      </c>
      <c r="B796" s="141">
        <f t="shared" si="12"/>
        <v>2.14</v>
      </c>
      <c r="C796" s="280">
        <v>45698</v>
      </c>
      <c r="D796" s="279">
        <v>45698</v>
      </c>
      <c r="E796" s="279">
        <v>45699</v>
      </c>
      <c r="F796" s="132"/>
      <c r="G796" s="132" t="s">
        <v>1108</v>
      </c>
      <c r="H796" s="132" t="s">
        <v>373</v>
      </c>
      <c r="I796" s="132" t="s">
        <v>1100</v>
      </c>
      <c r="J796" s="132" t="s">
        <v>2225</v>
      </c>
      <c r="K796" s="132" t="s">
        <v>2256</v>
      </c>
      <c r="L796" s="132" t="s">
        <v>2257</v>
      </c>
      <c r="M796" s="132" t="s">
        <v>2972</v>
      </c>
      <c r="N796" s="132" t="s">
        <v>1112</v>
      </c>
      <c r="O796" s="132" t="s">
        <v>2973</v>
      </c>
      <c r="P796" s="132" t="s">
        <v>2963</v>
      </c>
      <c r="Q796" s="132" t="s">
        <v>1108</v>
      </c>
    </row>
    <row r="797" spans="1:17" x14ac:dyDescent="0.2">
      <c r="A797" t="s">
        <v>175</v>
      </c>
      <c r="B797" s="141">
        <f t="shared" si="12"/>
        <v>2.14</v>
      </c>
      <c r="C797" s="280">
        <v>45698</v>
      </c>
      <c r="D797" s="279">
        <v>45698</v>
      </c>
      <c r="E797" s="279">
        <v>45699</v>
      </c>
      <c r="F797" s="132"/>
      <c r="G797" s="132" t="s">
        <v>1108</v>
      </c>
      <c r="H797" s="132" t="s">
        <v>373</v>
      </c>
      <c r="I797" s="132" t="s">
        <v>1100</v>
      </c>
      <c r="J797" s="132" t="s">
        <v>2225</v>
      </c>
      <c r="K797" s="132" t="s">
        <v>2256</v>
      </c>
      <c r="L797" s="132" t="s">
        <v>2257</v>
      </c>
      <c r="M797" s="132" t="s">
        <v>2974</v>
      </c>
      <c r="N797" s="132" t="s">
        <v>1112</v>
      </c>
      <c r="O797" s="132" t="s">
        <v>2975</v>
      </c>
      <c r="P797" s="132" t="s">
        <v>2963</v>
      </c>
      <c r="Q797" s="132" t="s">
        <v>1108</v>
      </c>
    </row>
    <row r="798" spans="1:17" x14ac:dyDescent="0.2">
      <c r="A798" t="s">
        <v>175</v>
      </c>
      <c r="B798" s="141">
        <f t="shared" si="12"/>
        <v>2.14</v>
      </c>
      <c r="C798" s="280">
        <v>45698</v>
      </c>
      <c r="D798" s="279">
        <v>45698</v>
      </c>
      <c r="E798" s="279">
        <v>45699</v>
      </c>
      <c r="F798" s="132"/>
      <c r="G798" s="132" t="s">
        <v>1108</v>
      </c>
      <c r="H798" s="132" t="s">
        <v>373</v>
      </c>
      <c r="I798" s="132" t="s">
        <v>1100</v>
      </c>
      <c r="J798" s="132" t="s">
        <v>2225</v>
      </c>
      <c r="K798" s="132" t="s">
        <v>2256</v>
      </c>
      <c r="L798" s="132" t="s">
        <v>2257</v>
      </c>
      <c r="M798" s="132" t="s">
        <v>2976</v>
      </c>
      <c r="N798" s="132" t="s">
        <v>1112</v>
      </c>
      <c r="O798" s="132" t="s">
        <v>2977</v>
      </c>
      <c r="P798" s="132" t="s">
        <v>2963</v>
      </c>
      <c r="Q798" s="132" t="s">
        <v>1108</v>
      </c>
    </row>
    <row r="799" spans="1:17" x14ac:dyDescent="0.2">
      <c r="A799" t="s">
        <v>175</v>
      </c>
      <c r="B799" s="141">
        <f t="shared" si="12"/>
        <v>2.14</v>
      </c>
      <c r="C799" s="280">
        <v>45698</v>
      </c>
      <c r="D799" s="279">
        <v>45698</v>
      </c>
      <c r="E799" s="279">
        <v>45699</v>
      </c>
      <c r="F799" s="132"/>
      <c r="G799" s="132" t="s">
        <v>1108</v>
      </c>
      <c r="H799" s="132" t="s">
        <v>373</v>
      </c>
      <c r="I799" s="132" t="s">
        <v>1100</v>
      </c>
      <c r="J799" s="132" t="s">
        <v>2225</v>
      </c>
      <c r="K799" s="132" t="s">
        <v>2256</v>
      </c>
      <c r="L799" s="132" t="s">
        <v>2257</v>
      </c>
      <c r="M799" s="132" t="s">
        <v>2978</v>
      </c>
      <c r="N799" s="132" t="s">
        <v>1112</v>
      </c>
      <c r="O799" s="132" t="s">
        <v>2979</v>
      </c>
      <c r="P799" s="132" t="s">
        <v>2963</v>
      </c>
      <c r="Q799" s="132" t="s">
        <v>1108</v>
      </c>
    </row>
    <row r="800" spans="1:17" x14ac:dyDescent="0.2">
      <c r="A800" t="s">
        <v>174</v>
      </c>
      <c r="B800" s="141">
        <f t="shared" si="12"/>
        <v>4.09</v>
      </c>
      <c r="C800" s="280">
        <v>45698</v>
      </c>
      <c r="D800" s="279">
        <v>45698</v>
      </c>
      <c r="E800" s="279">
        <v>45699</v>
      </c>
      <c r="F800" s="132"/>
      <c r="G800" s="132" t="s">
        <v>1108</v>
      </c>
      <c r="H800" s="132" t="s">
        <v>373</v>
      </c>
      <c r="I800" s="132" t="s">
        <v>1100</v>
      </c>
      <c r="J800" s="132" t="s">
        <v>1754</v>
      </c>
      <c r="K800" s="132" t="s">
        <v>1792</v>
      </c>
      <c r="L800" s="132" t="s">
        <v>1793</v>
      </c>
      <c r="M800" s="132" t="s">
        <v>2980</v>
      </c>
      <c r="N800" s="132" t="s">
        <v>1112</v>
      </c>
      <c r="O800" s="132" t="s">
        <v>2981</v>
      </c>
      <c r="P800" s="132" t="s">
        <v>2963</v>
      </c>
      <c r="Q800" s="132" t="s">
        <v>1108</v>
      </c>
    </row>
    <row r="801" spans="1:17" x14ac:dyDescent="0.2">
      <c r="A801" t="s">
        <v>175</v>
      </c>
      <c r="B801" s="141">
        <f t="shared" si="12"/>
        <v>2.15</v>
      </c>
      <c r="C801" s="280">
        <v>45698</v>
      </c>
      <c r="D801" s="279">
        <v>45699</v>
      </c>
      <c r="E801" s="279">
        <v>45699</v>
      </c>
      <c r="F801" s="132"/>
      <c r="G801" s="132" t="s">
        <v>1108</v>
      </c>
      <c r="H801" s="132" t="s">
        <v>373</v>
      </c>
      <c r="I801" s="132" t="s">
        <v>1100</v>
      </c>
      <c r="J801" s="132" t="s">
        <v>2225</v>
      </c>
      <c r="K801" s="132" t="s">
        <v>2226</v>
      </c>
      <c r="L801" s="132" t="s">
        <v>2227</v>
      </c>
      <c r="M801" s="132" t="s">
        <v>2982</v>
      </c>
      <c r="N801" s="132" t="s">
        <v>1117</v>
      </c>
      <c r="O801" s="132" t="s">
        <v>2983</v>
      </c>
      <c r="P801" s="132" t="s">
        <v>2963</v>
      </c>
      <c r="Q801" s="132" t="s">
        <v>1108</v>
      </c>
    </row>
    <row r="802" spans="1:17" x14ac:dyDescent="0.2">
      <c r="A802" t="s">
        <v>175</v>
      </c>
      <c r="B802" s="141">
        <f t="shared" si="12"/>
        <v>2.14</v>
      </c>
      <c r="C802" s="280">
        <v>45698</v>
      </c>
      <c r="D802" s="279">
        <v>45698</v>
      </c>
      <c r="E802" s="279">
        <v>45699</v>
      </c>
      <c r="F802" s="132"/>
      <c r="G802" s="132" t="s">
        <v>1108</v>
      </c>
      <c r="H802" s="132" t="s">
        <v>373</v>
      </c>
      <c r="I802" s="132" t="s">
        <v>1100</v>
      </c>
      <c r="J802" s="132" t="s">
        <v>2225</v>
      </c>
      <c r="K802" s="132" t="s">
        <v>2256</v>
      </c>
      <c r="L802" s="132" t="s">
        <v>2257</v>
      </c>
      <c r="M802" s="132" t="s">
        <v>2984</v>
      </c>
      <c r="N802" s="132" t="s">
        <v>1112</v>
      </c>
      <c r="O802" s="132" t="s">
        <v>2985</v>
      </c>
      <c r="P802" s="132" t="s">
        <v>2963</v>
      </c>
      <c r="Q802" s="132" t="s">
        <v>1108</v>
      </c>
    </row>
    <row r="803" spans="1:17" x14ac:dyDescent="0.2">
      <c r="A803" t="s">
        <v>175</v>
      </c>
      <c r="B803" s="141">
        <f t="shared" si="12"/>
        <v>2.14</v>
      </c>
      <c r="C803" s="280">
        <v>45698</v>
      </c>
      <c r="D803" s="279">
        <v>45698</v>
      </c>
      <c r="E803" s="279">
        <v>45699</v>
      </c>
      <c r="F803" s="132"/>
      <c r="G803" s="132" t="s">
        <v>1108</v>
      </c>
      <c r="H803" s="132" t="s">
        <v>373</v>
      </c>
      <c r="I803" s="132" t="s">
        <v>1100</v>
      </c>
      <c r="J803" s="132" t="s">
        <v>2225</v>
      </c>
      <c r="K803" s="132" t="s">
        <v>2256</v>
      </c>
      <c r="L803" s="132" t="s">
        <v>2257</v>
      </c>
      <c r="M803" s="132" t="s">
        <v>2986</v>
      </c>
      <c r="N803" s="132" t="s">
        <v>1112</v>
      </c>
      <c r="O803" s="132" t="s">
        <v>2987</v>
      </c>
      <c r="P803" s="132" t="s">
        <v>2963</v>
      </c>
      <c r="Q803" s="132" t="s">
        <v>1108</v>
      </c>
    </row>
    <row r="804" spans="1:17" x14ac:dyDescent="0.2">
      <c r="A804" t="s">
        <v>175</v>
      </c>
      <c r="B804" s="141">
        <f t="shared" si="12"/>
        <v>2.15</v>
      </c>
      <c r="C804" s="280">
        <v>45698</v>
      </c>
      <c r="D804" s="279">
        <v>45699</v>
      </c>
      <c r="E804" s="279">
        <v>45699</v>
      </c>
      <c r="F804" s="132"/>
      <c r="G804" s="132" t="s">
        <v>1108</v>
      </c>
      <c r="H804" s="132" t="s">
        <v>373</v>
      </c>
      <c r="I804" s="132" t="s">
        <v>1100</v>
      </c>
      <c r="J804" s="132" t="s">
        <v>2225</v>
      </c>
      <c r="K804" s="132" t="s">
        <v>2226</v>
      </c>
      <c r="L804" s="132" t="s">
        <v>2227</v>
      </c>
      <c r="M804" s="132" t="s">
        <v>2988</v>
      </c>
      <c r="N804" s="132" t="s">
        <v>1117</v>
      </c>
      <c r="O804" s="132" t="s">
        <v>2989</v>
      </c>
      <c r="P804" s="132" t="s">
        <v>2963</v>
      </c>
      <c r="Q804" s="132" t="s">
        <v>1108</v>
      </c>
    </row>
    <row r="805" spans="1:17" x14ac:dyDescent="0.2">
      <c r="A805" t="s">
        <v>175</v>
      </c>
      <c r="B805" s="141">
        <f t="shared" si="12"/>
        <v>2.15</v>
      </c>
      <c r="C805" s="280">
        <v>45698</v>
      </c>
      <c r="D805" s="279">
        <v>45699</v>
      </c>
      <c r="E805" s="279">
        <v>45699</v>
      </c>
      <c r="F805" s="132"/>
      <c r="G805" s="132" t="s">
        <v>1449</v>
      </c>
      <c r="H805" s="132" t="s">
        <v>373</v>
      </c>
      <c r="I805" s="132" t="s">
        <v>1100</v>
      </c>
      <c r="J805" s="132" t="s">
        <v>2225</v>
      </c>
      <c r="K805" s="132" t="s">
        <v>2226</v>
      </c>
      <c r="L805" s="132" t="s">
        <v>2227</v>
      </c>
      <c r="M805" s="132" t="s">
        <v>2990</v>
      </c>
      <c r="N805" s="132" t="s">
        <v>1105</v>
      </c>
      <c r="O805" s="132" t="s">
        <v>2991</v>
      </c>
      <c r="P805" s="132" t="s">
        <v>2963</v>
      </c>
      <c r="Q805" s="132" t="s">
        <v>1108</v>
      </c>
    </row>
    <row r="806" spans="1:17" x14ac:dyDescent="0.2">
      <c r="A806" t="s">
        <v>175</v>
      </c>
      <c r="B806" s="141">
        <f t="shared" si="12"/>
        <v>2.14</v>
      </c>
      <c r="C806" s="280">
        <v>45698</v>
      </c>
      <c r="D806" s="279">
        <v>45698</v>
      </c>
      <c r="E806" s="279">
        <v>45699</v>
      </c>
      <c r="F806" s="132"/>
      <c r="G806" s="132" t="s">
        <v>1108</v>
      </c>
      <c r="H806" s="132" t="s">
        <v>373</v>
      </c>
      <c r="I806" s="132" t="s">
        <v>1100</v>
      </c>
      <c r="J806" s="132" t="s">
        <v>2225</v>
      </c>
      <c r="K806" s="132" t="s">
        <v>2256</v>
      </c>
      <c r="L806" s="132" t="s">
        <v>2257</v>
      </c>
      <c r="M806" s="132" t="s">
        <v>2992</v>
      </c>
      <c r="N806" s="132" t="s">
        <v>1112</v>
      </c>
      <c r="O806" s="132" t="s">
        <v>2993</v>
      </c>
      <c r="P806" s="132" t="s">
        <v>2963</v>
      </c>
      <c r="Q806" s="132" t="s">
        <v>1108</v>
      </c>
    </row>
    <row r="807" spans="1:17" x14ac:dyDescent="0.2">
      <c r="A807" t="s">
        <v>175</v>
      </c>
      <c r="B807" s="141">
        <f t="shared" si="12"/>
        <v>2.14</v>
      </c>
      <c r="C807" s="280">
        <v>45698</v>
      </c>
      <c r="D807" s="279">
        <v>45698</v>
      </c>
      <c r="E807" s="279">
        <v>45699</v>
      </c>
      <c r="F807" s="132"/>
      <c r="G807" s="132" t="s">
        <v>1108</v>
      </c>
      <c r="H807" s="132" t="s">
        <v>373</v>
      </c>
      <c r="I807" s="132" t="s">
        <v>1100</v>
      </c>
      <c r="J807" s="132" t="s">
        <v>2225</v>
      </c>
      <c r="K807" s="132" t="s">
        <v>2256</v>
      </c>
      <c r="L807" s="132" t="s">
        <v>2257</v>
      </c>
      <c r="M807" s="132" t="s">
        <v>2994</v>
      </c>
      <c r="N807" s="132" t="s">
        <v>1112</v>
      </c>
      <c r="O807" s="132" t="s">
        <v>2995</v>
      </c>
      <c r="P807" s="132" t="s">
        <v>2963</v>
      </c>
      <c r="Q807" s="132" t="s">
        <v>1108</v>
      </c>
    </row>
    <row r="808" spans="1:17" x14ac:dyDescent="0.2">
      <c r="A808" t="s">
        <v>174</v>
      </c>
      <c r="B808" s="141">
        <f t="shared" si="12"/>
        <v>4.09</v>
      </c>
      <c r="C808" s="280">
        <v>45698</v>
      </c>
      <c r="D808" s="279">
        <v>45698</v>
      </c>
      <c r="E808" s="279">
        <v>45699</v>
      </c>
      <c r="F808" s="132"/>
      <c r="G808" s="132" t="s">
        <v>1108</v>
      </c>
      <c r="H808" s="132" t="s">
        <v>373</v>
      </c>
      <c r="I808" s="132" t="s">
        <v>1100</v>
      </c>
      <c r="J808" s="132" t="s">
        <v>1754</v>
      </c>
      <c r="K808" s="132" t="s">
        <v>1792</v>
      </c>
      <c r="L808" s="132" t="s">
        <v>1793</v>
      </c>
      <c r="M808" s="132" t="s">
        <v>2996</v>
      </c>
      <c r="N808" s="132" t="s">
        <v>1112</v>
      </c>
      <c r="O808" s="132" t="s">
        <v>2997</v>
      </c>
      <c r="P808" s="132" t="s">
        <v>2963</v>
      </c>
      <c r="Q808" s="132" t="s">
        <v>1108</v>
      </c>
    </row>
    <row r="809" spans="1:17" x14ac:dyDescent="0.2">
      <c r="A809" t="s">
        <v>175</v>
      </c>
      <c r="B809" s="141">
        <f t="shared" si="12"/>
        <v>2.14</v>
      </c>
      <c r="C809" s="280">
        <v>45698</v>
      </c>
      <c r="D809" s="279">
        <v>45698</v>
      </c>
      <c r="E809" s="279">
        <v>45699</v>
      </c>
      <c r="F809" s="132"/>
      <c r="G809" s="132" t="s">
        <v>1108</v>
      </c>
      <c r="H809" s="132" t="s">
        <v>373</v>
      </c>
      <c r="I809" s="132" t="s">
        <v>1100</v>
      </c>
      <c r="J809" s="132" t="s">
        <v>2225</v>
      </c>
      <c r="K809" s="132" t="s">
        <v>2256</v>
      </c>
      <c r="L809" s="132" t="s">
        <v>2257</v>
      </c>
      <c r="M809" s="132" t="s">
        <v>2998</v>
      </c>
      <c r="N809" s="132" t="s">
        <v>1112</v>
      </c>
      <c r="O809" s="132" t="s">
        <v>2999</v>
      </c>
      <c r="P809" s="132" t="s">
        <v>2963</v>
      </c>
      <c r="Q809" s="132" t="s">
        <v>1108</v>
      </c>
    </row>
    <row r="810" spans="1:17" x14ac:dyDescent="0.2">
      <c r="A810" t="s">
        <v>175</v>
      </c>
      <c r="B810" s="141">
        <f t="shared" si="12"/>
        <v>2.14</v>
      </c>
      <c r="C810" s="280">
        <v>45698</v>
      </c>
      <c r="D810" s="279">
        <v>45699</v>
      </c>
      <c r="E810" s="279">
        <v>45700</v>
      </c>
      <c r="F810" s="132"/>
      <c r="G810" s="132" t="s">
        <v>1108</v>
      </c>
      <c r="H810" s="132" t="s">
        <v>373</v>
      </c>
      <c r="I810" s="132" t="s">
        <v>1100</v>
      </c>
      <c r="J810" s="132" t="s">
        <v>2225</v>
      </c>
      <c r="K810" s="132" t="s">
        <v>2256</v>
      </c>
      <c r="L810" s="132" t="s">
        <v>2257</v>
      </c>
      <c r="M810" s="132" t="s">
        <v>3000</v>
      </c>
      <c r="N810" s="132" t="s">
        <v>1112</v>
      </c>
      <c r="O810" s="132" t="s">
        <v>3001</v>
      </c>
      <c r="P810" s="132" t="s">
        <v>3002</v>
      </c>
      <c r="Q810" s="132" t="s">
        <v>1108</v>
      </c>
    </row>
    <row r="811" spans="1:17" x14ac:dyDescent="0.2">
      <c r="A811" t="s">
        <v>175</v>
      </c>
      <c r="B811" s="141">
        <f t="shared" si="12"/>
        <v>2.15</v>
      </c>
      <c r="C811" s="280">
        <v>45698</v>
      </c>
      <c r="D811" s="279">
        <v>45699</v>
      </c>
      <c r="E811" s="279">
        <v>45700</v>
      </c>
      <c r="F811" s="132"/>
      <c r="G811" s="132" t="s">
        <v>2130</v>
      </c>
      <c r="H811" s="132" t="s">
        <v>373</v>
      </c>
      <c r="I811" s="132" t="s">
        <v>1100</v>
      </c>
      <c r="J811" s="132" t="s">
        <v>2225</v>
      </c>
      <c r="K811" s="132" t="s">
        <v>2226</v>
      </c>
      <c r="L811" s="132" t="s">
        <v>2227</v>
      </c>
      <c r="M811" s="132" t="s">
        <v>3003</v>
      </c>
      <c r="N811" s="132" t="s">
        <v>1105</v>
      </c>
      <c r="O811" s="132" t="s">
        <v>3004</v>
      </c>
      <c r="P811" s="132" t="s">
        <v>3002</v>
      </c>
      <c r="Q811" s="132" t="s">
        <v>1108</v>
      </c>
    </row>
    <row r="812" spans="1:17" x14ac:dyDescent="0.2">
      <c r="A812" t="s">
        <v>175</v>
      </c>
      <c r="B812" s="141">
        <f t="shared" si="12"/>
        <v>2.15</v>
      </c>
      <c r="C812" s="280">
        <v>45698</v>
      </c>
      <c r="D812" s="279">
        <v>45699</v>
      </c>
      <c r="E812" s="279">
        <v>45700</v>
      </c>
      <c r="F812" s="132"/>
      <c r="G812" s="132" t="s">
        <v>1108</v>
      </c>
      <c r="H812" s="132" t="s">
        <v>373</v>
      </c>
      <c r="I812" s="132" t="s">
        <v>1100</v>
      </c>
      <c r="J812" s="132" t="s">
        <v>2225</v>
      </c>
      <c r="K812" s="132" t="s">
        <v>2226</v>
      </c>
      <c r="L812" s="132" t="s">
        <v>2227</v>
      </c>
      <c r="M812" s="132" t="s">
        <v>3005</v>
      </c>
      <c r="N812" s="132" t="s">
        <v>1117</v>
      </c>
      <c r="O812" s="132" t="s">
        <v>3006</v>
      </c>
      <c r="P812" s="132" t="s">
        <v>3002</v>
      </c>
      <c r="Q812" s="132" t="s">
        <v>1108</v>
      </c>
    </row>
    <row r="813" spans="1:17" x14ac:dyDescent="0.2">
      <c r="A813" t="s">
        <v>175</v>
      </c>
      <c r="B813" s="141">
        <f t="shared" si="12"/>
        <v>2.15</v>
      </c>
      <c r="C813" s="280">
        <v>45698</v>
      </c>
      <c r="D813" s="279">
        <v>45699</v>
      </c>
      <c r="E813" s="279">
        <v>45700</v>
      </c>
      <c r="F813" s="132"/>
      <c r="G813" s="132" t="s">
        <v>1108</v>
      </c>
      <c r="H813" s="132" t="s">
        <v>373</v>
      </c>
      <c r="I813" s="132" t="s">
        <v>1100</v>
      </c>
      <c r="J813" s="132" t="s">
        <v>2225</v>
      </c>
      <c r="K813" s="132" t="s">
        <v>2226</v>
      </c>
      <c r="L813" s="132" t="s">
        <v>2227</v>
      </c>
      <c r="M813" s="132" t="s">
        <v>3007</v>
      </c>
      <c r="N813" s="132" t="s">
        <v>1117</v>
      </c>
      <c r="O813" s="132" t="s">
        <v>3008</v>
      </c>
      <c r="P813" s="132" t="s">
        <v>3002</v>
      </c>
      <c r="Q813" s="132" t="s">
        <v>1108</v>
      </c>
    </row>
    <row r="814" spans="1:17" x14ac:dyDescent="0.2">
      <c r="A814" t="s">
        <v>175</v>
      </c>
      <c r="B814" s="141">
        <f t="shared" si="12"/>
        <v>2.15</v>
      </c>
      <c r="C814" s="280">
        <v>45698</v>
      </c>
      <c r="D814" s="279">
        <v>45699</v>
      </c>
      <c r="E814" s="279">
        <v>45700</v>
      </c>
      <c r="F814" s="132"/>
      <c r="G814" s="132" t="s">
        <v>1108</v>
      </c>
      <c r="H814" s="132" t="s">
        <v>373</v>
      </c>
      <c r="I814" s="132" t="s">
        <v>1100</v>
      </c>
      <c r="J814" s="132" t="s">
        <v>2225</v>
      </c>
      <c r="K814" s="132" t="s">
        <v>2226</v>
      </c>
      <c r="L814" s="132" t="s">
        <v>2227</v>
      </c>
      <c r="M814" s="132" t="s">
        <v>3009</v>
      </c>
      <c r="N814" s="132" t="s">
        <v>1117</v>
      </c>
      <c r="O814" s="132" t="s">
        <v>3010</v>
      </c>
      <c r="P814" s="132" t="s">
        <v>3002</v>
      </c>
      <c r="Q814" s="132" t="s">
        <v>1108</v>
      </c>
    </row>
    <row r="815" spans="1:17" x14ac:dyDescent="0.2">
      <c r="A815" t="s">
        <v>175</v>
      </c>
      <c r="B815" s="141">
        <f t="shared" si="12"/>
        <v>6.57</v>
      </c>
      <c r="C815" s="280">
        <v>45698</v>
      </c>
      <c r="D815" s="279">
        <v>45699</v>
      </c>
      <c r="E815" s="279">
        <v>45700</v>
      </c>
      <c r="F815" s="132"/>
      <c r="G815" s="132" t="s">
        <v>3011</v>
      </c>
      <c r="H815" s="132" t="s">
        <v>373</v>
      </c>
      <c r="I815" s="132" t="s">
        <v>1100</v>
      </c>
      <c r="J815" s="132" t="s">
        <v>2264</v>
      </c>
      <c r="K815" s="132" t="s">
        <v>2042</v>
      </c>
      <c r="L815" s="132" t="s">
        <v>2265</v>
      </c>
      <c r="M815" s="132" t="s">
        <v>3012</v>
      </c>
      <c r="N815" s="132" t="s">
        <v>1105</v>
      </c>
      <c r="O815" s="132" t="s">
        <v>3013</v>
      </c>
      <c r="P815" s="132" t="s">
        <v>3002</v>
      </c>
      <c r="Q815" s="132" t="s">
        <v>1108</v>
      </c>
    </row>
    <row r="816" spans="1:17" x14ac:dyDescent="0.2">
      <c r="A816" t="s">
        <v>174</v>
      </c>
      <c r="B816" s="141">
        <f t="shared" si="12"/>
        <v>4.1100000000000003</v>
      </c>
      <c r="C816" s="280">
        <v>45698</v>
      </c>
      <c r="D816" s="279">
        <v>45699</v>
      </c>
      <c r="E816" s="279">
        <v>45700</v>
      </c>
      <c r="F816" s="132"/>
      <c r="G816" s="132" t="s">
        <v>1868</v>
      </c>
      <c r="H816" s="132" t="s">
        <v>373</v>
      </c>
      <c r="I816" s="132" t="s">
        <v>1100</v>
      </c>
      <c r="J816" s="132" t="s">
        <v>1754</v>
      </c>
      <c r="K816" s="132" t="s">
        <v>1755</v>
      </c>
      <c r="L816" s="132" t="s">
        <v>1756</v>
      </c>
      <c r="M816" s="132" t="s">
        <v>3014</v>
      </c>
      <c r="N816" s="132" t="s">
        <v>1105</v>
      </c>
      <c r="O816" s="132" t="s">
        <v>3015</v>
      </c>
      <c r="P816" s="132" t="s">
        <v>3002</v>
      </c>
      <c r="Q816" s="132" t="s">
        <v>1108</v>
      </c>
    </row>
    <row r="817" spans="1:18" x14ac:dyDescent="0.2">
      <c r="A817" t="s">
        <v>174</v>
      </c>
      <c r="B817" s="141">
        <f t="shared" si="12"/>
        <v>4.1100000000000003</v>
      </c>
      <c r="C817" s="280">
        <v>45698</v>
      </c>
      <c r="D817" s="279">
        <v>45699</v>
      </c>
      <c r="E817" s="279">
        <v>45700</v>
      </c>
      <c r="F817" s="132"/>
      <c r="G817" s="132" t="s">
        <v>2384</v>
      </c>
      <c r="H817" s="132" t="s">
        <v>373</v>
      </c>
      <c r="I817" s="132" t="s">
        <v>1100</v>
      </c>
      <c r="J817" s="132" t="s">
        <v>1754</v>
      </c>
      <c r="K817" s="132" t="s">
        <v>1755</v>
      </c>
      <c r="L817" s="132" t="s">
        <v>1756</v>
      </c>
      <c r="M817" s="132" t="s">
        <v>3016</v>
      </c>
      <c r="N817" s="132" t="s">
        <v>1105</v>
      </c>
      <c r="O817" s="132" t="s">
        <v>3017</v>
      </c>
      <c r="P817" s="132" t="s">
        <v>3002</v>
      </c>
      <c r="Q817" s="132" t="s">
        <v>1108</v>
      </c>
    </row>
    <row r="818" spans="1:18" x14ac:dyDescent="0.2">
      <c r="A818" t="s">
        <v>175</v>
      </c>
      <c r="B818" s="141">
        <f t="shared" si="12"/>
        <v>2.15</v>
      </c>
      <c r="C818" s="280">
        <v>45698</v>
      </c>
      <c r="D818" s="279">
        <v>45699</v>
      </c>
      <c r="E818" s="279">
        <v>45700</v>
      </c>
      <c r="F818" s="132"/>
      <c r="G818" s="132" t="s">
        <v>1108</v>
      </c>
      <c r="H818" s="132" t="s">
        <v>373</v>
      </c>
      <c r="I818" s="132" t="s">
        <v>1100</v>
      </c>
      <c r="J818" s="132" t="s">
        <v>2225</v>
      </c>
      <c r="K818" s="132" t="s">
        <v>2226</v>
      </c>
      <c r="L818" s="132" t="s">
        <v>2227</v>
      </c>
      <c r="M818" s="132" t="s">
        <v>3018</v>
      </c>
      <c r="N818" s="132" t="s">
        <v>1117</v>
      </c>
      <c r="O818" s="132" t="s">
        <v>3019</v>
      </c>
      <c r="P818" s="132" t="s">
        <v>3002</v>
      </c>
      <c r="Q818" s="132" t="s">
        <v>1108</v>
      </c>
    </row>
    <row r="819" spans="1:18" x14ac:dyDescent="0.2">
      <c r="A819" t="s">
        <v>175</v>
      </c>
      <c r="B819" s="141">
        <f t="shared" si="12"/>
        <v>2.15</v>
      </c>
      <c r="C819" s="280">
        <v>45698</v>
      </c>
      <c r="D819" s="279">
        <v>45699</v>
      </c>
      <c r="E819" s="279">
        <v>45700</v>
      </c>
      <c r="F819" s="132"/>
      <c r="G819" s="132" t="s">
        <v>1585</v>
      </c>
      <c r="H819" s="132" t="s">
        <v>373</v>
      </c>
      <c r="I819" s="132" t="s">
        <v>1100</v>
      </c>
      <c r="J819" s="132" t="s">
        <v>2225</v>
      </c>
      <c r="K819" s="132" t="s">
        <v>2226</v>
      </c>
      <c r="L819" s="132" t="s">
        <v>2227</v>
      </c>
      <c r="M819" s="132" t="s">
        <v>3020</v>
      </c>
      <c r="N819" s="132" t="s">
        <v>1105</v>
      </c>
      <c r="O819" s="132" t="s">
        <v>3021</v>
      </c>
      <c r="P819" s="132" t="s">
        <v>3002</v>
      </c>
      <c r="Q819" s="132" t="s">
        <v>1108</v>
      </c>
    </row>
    <row r="820" spans="1:18" x14ac:dyDescent="0.2">
      <c r="A820" t="s">
        <v>250</v>
      </c>
      <c r="B820" s="141">
        <f t="shared" si="12"/>
        <v>2.64</v>
      </c>
      <c r="C820" s="280">
        <v>45699</v>
      </c>
      <c r="D820" s="279">
        <v>45700</v>
      </c>
      <c r="E820" s="279">
        <v>45700</v>
      </c>
      <c r="F820" s="132"/>
      <c r="G820" s="132" t="s">
        <v>1108</v>
      </c>
      <c r="H820" s="132" t="s">
        <v>373</v>
      </c>
      <c r="I820" s="132" t="s">
        <v>1100</v>
      </c>
      <c r="J820" s="132" t="s">
        <v>3022</v>
      </c>
      <c r="K820" s="132" t="s">
        <v>3023</v>
      </c>
      <c r="L820" s="132" t="s">
        <v>3024</v>
      </c>
      <c r="M820" s="132" t="s">
        <v>3025</v>
      </c>
      <c r="N820" s="132" t="s">
        <v>1117</v>
      </c>
      <c r="O820" s="132" t="s">
        <v>3026</v>
      </c>
      <c r="P820" s="132" t="s">
        <v>3002</v>
      </c>
      <c r="Q820" s="132" t="s">
        <v>1108</v>
      </c>
    </row>
    <row r="821" spans="1:18" x14ac:dyDescent="0.2">
      <c r="A821" t="s">
        <v>250</v>
      </c>
      <c r="B821" s="141">
        <f t="shared" si="12"/>
        <v>2.64</v>
      </c>
      <c r="C821" s="280">
        <v>45699</v>
      </c>
      <c r="D821" s="279">
        <v>45700</v>
      </c>
      <c r="E821" s="279">
        <v>45700</v>
      </c>
      <c r="F821" s="132"/>
      <c r="G821" s="132" t="s">
        <v>1229</v>
      </c>
      <c r="H821" s="132" t="s">
        <v>373</v>
      </c>
      <c r="I821" s="132" t="s">
        <v>1100</v>
      </c>
      <c r="J821" s="132" t="s">
        <v>3022</v>
      </c>
      <c r="K821" s="132" t="s">
        <v>3023</v>
      </c>
      <c r="L821" s="132" t="s">
        <v>3024</v>
      </c>
      <c r="M821" s="132" t="s">
        <v>3027</v>
      </c>
      <c r="N821" s="132" t="s">
        <v>1105</v>
      </c>
      <c r="O821" s="132" t="s">
        <v>3028</v>
      </c>
      <c r="P821" s="132" t="s">
        <v>3002</v>
      </c>
      <c r="Q821" s="132" t="s">
        <v>1108</v>
      </c>
    </row>
    <row r="822" spans="1:18" x14ac:dyDescent="0.2">
      <c r="A822" t="s">
        <v>250</v>
      </c>
      <c r="B822" s="141">
        <f t="shared" si="12"/>
        <v>2.62</v>
      </c>
      <c r="C822" s="280">
        <v>45699</v>
      </c>
      <c r="D822" s="279">
        <v>45700</v>
      </c>
      <c r="E822" s="279">
        <v>45701</v>
      </c>
      <c r="F822" s="132"/>
      <c r="G822" s="132" t="s">
        <v>1108</v>
      </c>
      <c r="H822" s="132" t="s">
        <v>373</v>
      </c>
      <c r="I822" s="132" t="s">
        <v>1100</v>
      </c>
      <c r="J822" s="132" t="s">
        <v>3022</v>
      </c>
      <c r="K822" s="132" t="s">
        <v>1742</v>
      </c>
      <c r="L822" s="132" t="s">
        <v>3029</v>
      </c>
      <c r="M822" s="132" t="s">
        <v>3030</v>
      </c>
      <c r="N822" s="132" t="s">
        <v>1112</v>
      </c>
      <c r="O822" s="132" t="s">
        <v>3031</v>
      </c>
      <c r="P822" s="132" t="s">
        <v>3032</v>
      </c>
      <c r="Q822" s="132" t="s">
        <v>1108</v>
      </c>
    </row>
    <row r="823" spans="1:18" x14ac:dyDescent="0.2">
      <c r="A823" t="s">
        <v>250</v>
      </c>
      <c r="B823" s="141">
        <f t="shared" ref="B823:B886" si="13">_xlfn.NUMBERVALUE(L823)*0.01</f>
        <v>2.64</v>
      </c>
      <c r="C823" s="280">
        <v>45700</v>
      </c>
      <c r="D823" s="279">
        <v>45701</v>
      </c>
      <c r="E823" s="279">
        <v>45701</v>
      </c>
      <c r="F823" s="132"/>
      <c r="G823" s="132" t="s">
        <v>1108</v>
      </c>
      <c r="H823" s="132" t="s">
        <v>373</v>
      </c>
      <c r="I823" s="132" t="s">
        <v>1100</v>
      </c>
      <c r="J823" s="132" t="s">
        <v>3022</v>
      </c>
      <c r="K823" s="132" t="s">
        <v>3023</v>
      </c>
      <c r="L823" s="132" t="s">
        <v>3024</v>
      </c>
      <c r="M823" s="132" t="s">
        <v>3033</v>
      </c>
      <c r="N823" s="132" t="s">
        <v>1117</v>
      </c>
      <c r="O823" s="132" t="s">
        <v>3034</v>
      </c>
      <c r="P823" s="132" t="s">
        <v>3032</v>
      </c>
      <c r="Q823" s="132" t="s">
        <v>1108</v>
      </c>
    </row>
    <row r="824" spans="1:18" x14ac:dyDescent="0.2">
      <c r="A824" t="s">
        <v>250</v>
      </c>
      <c r="B824" s="141">
        <f t="shared" si="13"/>
        <v>2.64</v>
      </c>
      <c r="C824" s="280">
        <v>45700</v>
      </c>
      <c r="D824" s="279">
        <v>45702</v>
      </c>
      <c r="E824" s="279">
        <v>45702</v>
      </c>
      <c r="F824" s="132"/>
      <c r="G824" s="132" t="s">
        <v>1863</v>
      </c>
      <c r="H824" s="132" t="s">
        <v>373</v>
      </c>
      <c r="I824" s="132" t="s">
        <v>1100</v>
      </c>
      <c r="J824" s="132" t="s">
        <v>3022</v>
      </c>
      <c r="K824" s="132" t="s">
        <v>3023</v>
      </c>
      <c r="L824" s="132" t="s">
        <v>3024</v>
      </c>
      <c r="M824" s="132" t="s">
        <v>3035</v>
      </c>
      <c r="N824" s="132" t="s">
        <v>1105</v>
      </c>
      <c r="O824" s="132" t="s">
        <v>3036</v>
      </c>
      <c r="P824" s="132" t="s">
        <v>3037</v>
      </c>
      <c r="Q824" s="132" t="s">
        <v>1108</v>
      </c>
    </row>
    <row r="825" spans="1:18" x14ac:dyDescent="0.2">
      <c r="A825" t="s">
        <v>250</v>
      </c>
      <c r="B825" s="141">
        <f t="shared" si="13"/>
        <v>2.64</v>
      </c>
      <c r="C825" s="280">
        <v>45700</v>
      </c>
      <c r="D825" s="279">
        <v>45701</v>
      </c>
      <c r="E825" s="279">
        <v>45702</v>
      </c>
      <c r="F825" s="132"/>
      <c r="G825" s="132" t="s">
        <v>1923</v>
      </c>
      <c r="H825" s="132" t="s">
        <v>373</v>
      </c>
      <c r="I825" s="132" t="s">
        <v>1100</v>
      </c>
      <c r="J825" s="132" t="s">
        <v>3022</v>
      </c>
      <c r="K825" s="132" t="s">
        <v>3023</v>
      </c>
      <c r="L825" s="132" t="s">
        <v>3024</v>
      </c>
      <c r="M825" s="132" t="s">
        <v>3038</v>
      </c>
      <c r="N825" s="132" t="s">
        <v>1105</v>
      </c>
      <c r="O825" s="132" t="s">
        <v>3039</v>
      </c>
      <c r="P825" s="132" t="s">
        <v>3037</v>
      </c>
      <c r="Q825" s="132" t="s">
        <v>1108</v>
      </c>
    </row>
    <row r="826" spans="1:18" x14ac:dyDescent="0.2">
      <c r="A826" t="s">
        <v>250</v>
      </c>
      <c r="B826" s="141">
        <f>_xlfn.NUMBERVALUE(L826)*0.01</f>
        <v>2.64</v>
      </c>
      <c r="C826" s="280">
        <v>45700</v>
      </c>
      <c r="D826" s="279">
        <v>45701</v>
      </c>
      <c r="E826" s="279">
        <v>45702</v>
      </c>
      <c r="F826" s="132"/>
      <c r="G826" s="132" t="s">
        <v>3040</v>
      </c>
      <c r="H826" s="132" t="s">
        <v>373</v>
      </c>
      <c r="I826" s="132" t="s">
        <v>1100</v>
      </c>
      <c r="J826" s="132" t="s">
        <v>3022</v>
      </c>
      <c r="K826" s="132" t="s">
        <v>3023</v>
      </c>
      <c r="L826" s="132" t="s">
        <v>3024</v>
      </c>
      <c r="M826" s="132" t="s">
        <v>3041</v>
      </c>
      <c r="N826" s="132" t="s">
        <v>1105</v>
      </c>
      <c r="O826" s="132" t="s">
        <v>3042</v>
      </c>
      <c r="P826" s="132" t="s">
        <v>3037</v>
      </c>
      <c r="Q826" s="132" t="s">
        <v>1108</v>
      </c>
    </row>
    <row r="827" spans="1:18" x14ac:dyDescent="0.2">
      <c r="A827" t="s">
        <v>250</v>
      </c>
      <c r="B827" s="141">
        <f>_xlfn.NUMBERVALUE(L827)*0.01</f>
        <v>2.62</v>
      </c>
      <c r="C827" s="280">
        <v>45702</v>
      </c>
      <c r="D827" s="279">
        <v>45702</v>
      </c>
      <c r="E827" s="279">
        <v>45703</v>
      </c>
      <c r="F827" s="132"/>
      <c r="G827" s="132" t="s">
        <v>1108</v>
      </c>
      <c r="H827" s="132" t="s">
        <v>373</v>
      </c>
      <c r="I827" s="132" t="s">
        <v>1100</v>
      </c>
      <c r="J827" s="132" t="s">
        <v>3022</v>
      </c>
      <c r="K827" s="132" t="s">
        <v>1742</v>
      </c>
      <c r="L827" s="132" t="s">
        <v>3029</v>
      </c>
      <c r="M827" s="132" t="s">
        <v>3043</v>
      </c>
      <c r="N827" s="132" t="s">
        <v>1112</v>
      </c>
      <c r="O827" s="132" t="s">
        <v>3044</v>
      </c>
      <c r="P827" s="132" t="s">
        <v>3045</v>
      </c>
      <c r="Q827" s="132" t="s">
        <v>3046</v>
      </c>
      <c r="R827" s="132" t="s">
        <v>1108</v>
      </c>
    </row>
    <row r="828" spans="1:18" x14ac:dyDescent="0.2">
      <c r="A828" t="s">
        <v>250</v>
      </c>
      <c r="B828" s="141">
        <f t="shared" si="13"/>
        <v>2.64</v>
      </c>
      <c r="C828" s="280">
        <v>45703</v>
      </c>
      <c r="D828" s="279">
        <v>45704</v>
      </c>
      <c r="E828" s="279">
        <v>45705</v>
      </c>
      <c r="F828" s="132"/>
      <c r="G828" s="132" t="s">
        <v>1665</v>
      </c>
      <c r="H828" s="132" t="s">
        <v>373</v>
      </c>
      <c r="I828" s="132" t="s">
        <v>1100</v>
      </c>
      <c r="J828" s="132" t="s">
        <v>3022</v>
      </c>
      <c r="K828" s="132" t="s">
        <v>3023</v>
      </c>
      <c r="L828" s="132" t="s">
        <v>3024</v>
      </c>
      <c r="M828" s="132" t="s">
        <v>3047</v>
      </c>
      <c r="N828" s="132" t="s">
        <v>1105</v>
      </c>
      <c r="O828" s="132" t="s">
        <v>3044</v>
      </c>
      <c r="P828" s="132" t="s">
        <v>3048</v>
      </c>
      <c r="Q828" s="132" t="s">
        <v>3049</v>
      </c>
      <c r="R828" s="132" t="s">
        <v>1108</v>
      </c>
    </row>
    <row r="829" spans="1:18" x14ac:dyDescent="0.2">
      <c r="A829" t="s">
        <v>250</v>
      </c>
      <c r="B829" s="141">
        <f t="shared" si="13"/>
        <v>2.62</v>
      </c>
      <c r="C829" s="280">
        <v>45703</v>
      </c>
      <c r="D829" s="279">
        <v>45705</v>
      </c>
      <c r="E829" s="279">
        <v>45706</v>
      </c>
      <c r="F829" s="132"/>
      <c r="G829" s="132" t="s">
        <v>1108</v>
      </c>
      <c r="H829" s="132" t="s">
        <v>373</v>
      </c>
      <c r="I829" s="132" t="s">
        <v>1100</v>
      </c>
      <c r="J829" s="132" t="s">
        <v>3022</v>
      </c>
      <c r="K829" s="132" t="s">
        <v>1742</v>
      </c>
      <c r="L829" s="132" t="s">
        <v>3029</v>
      </c>
      <c r="M829" s="132" t="s">
        <v>3050</v>
      </c>
      <c r="N829" s="132" t="s">
        <v>1112</v>
      </c>
      <c r="O829" s="132" t="s">
        <v>3044</v>
      </c>
      <c r="P829" s="132" t="s">
        <v>3051</v>
      </c>
      <c r="Q829" s="132" t="s">
        <v>3052</v>
      </c>
      <c r="R829" s="132" t="s">
        <v>1108</v>
      </c>
    </row>
    <row r="830" spans="1:18" x14ac:dyDescent="0.2">
      <c r="A830" t="s">
        <v>251</v>
      </c>
      <c r="B830" s="141">
        <f t="shared" si="13"/>
        <v>7.55</v>
      </c>
      <c r="C830" s="280">
        <v>45704</v>
      </c>
      <c r="D830" s="279">
        <v>45705</v>
      </c>
      <c r="E830" s="279">
        <v>45706</v>
      </c>
      <c r="F830" s="132"/>
      <c r="G830" s="132" t="s">
        <v>1108</v>
      </c>
      <c r="H830" s="132" t="s">
        <v>373</v>
      </c>
      <c r="I830" s="132" t="s">
        <v>1100</v>
      </c>
      <c r="J830" s="132" t="s">
        <v>3053</v>
      </c>
      <c r="K830" s="132" t="s">
        <v>2751</v>
      </c>
      <c r="L830" s="132" t="s">
        <v>1951</v>
      </c>
      <c r="M830" s="132" t="s">
        <v>3054</v>
      </c>
      <c r="N830" s="132" t="s">
        <v>1117</v>
      </c>
      <c r="O830" s="132" t="s">
        <v>3044</v>
      </c>
      <c r="P830" s="132" t="s">
        <v>3055</v>
      </c>
      <c r="Q830" s="132" t="s">
        <v>3052</v>
      </c>
      <c r="R830" s="132" t="s">
        <v>1108</v>
      </c>
    </row>
    <row r="831" spans="1:18" x14ac:dyDescent="0.2">
      <c r="A831" t="s">
        <v>251</v>
      </c>
      <c r="B831" s="141">
        <f t="shared" si="13"/>
        <v>7.5</v>
      </c>
      <c r="C831" s="280">
        <v>45705</v>
      </c>
      <c r="D831" s="279">
        <v>45706</v>
      </c>
      <c r="E831" s="279">
        <v>45707</v>
      </c>
      <c r="F831" s="132"/>
      <c r="G831" s="132" t="s">
        <v>1108</v>
      </c>
      <c r="H831" s="132" t="s">
        <v>373</v>
      </c>
      <c r="I831" s="132" t="s">
        <v>1100</v>
      </c>
      <c r="J831" s="132" t="s">
        <v>3053</v>
      </c>
      <c r="K831" s="132" t="s">
        <v>3056</v>
      </c>
      <c r="L831" s="132" t="s">
        <v>3057</v>
      </c>
      <c r="M831" s="132" t="s">
        <v>3058</v>
      </c>
      <c r="N831" s="132" t="s">
        <v>1112</v>
      </c>
      <c r="O831" s="132" t="s">
        <v>3044</v>
      </c>
      <c r="P831" s="132" t="s">
        <v>3059</v>
      </c>
      <c r="Q831" s="132" t="s">
        <v>3060</v>
      </c>
      <c r="R831" s="132" t="s">
        <v>1108</v>
      </c>
    </row>
    <row r="832" spans="1:18" x14ac:dyDescent="0.2">
      <c r="A832" t="s">
        <v>250</v>
      </c>
      <c r="B832" s="141">
        <f t="shared" si="13"/>
        <v>2.64</v>
      </c>
      <c r="C832" s="280">
        <v>45705</v>
      </c>
      <c r="D832" s="279">
        <v>45706</v>
      </c>
      <c r="E832" s="279">
        <v>45707</v>
      </c>
      <c r="F832" s="132"/>
      <c r="G832" s="132" t="s">
        <v>1108</v>
      </c>
      <c r="H832" s="132" t="s">
        <v>373</v>
      </c>
      <c r="I832" s="132" t="s">
        <v>1100</v>
      </c>
      <c r="J832" s="132" t="s">
        <v>3022</v>
      </c>
      <c r="K832" s="132" t="s">
        <v>3023</v>
      </c>
      <c r="L832" s="132" t="s">
        <v>3024</v>
      </c>
      <c r="M832" s="132" t="s">
        <v>3061</v>
      </c>
      <c r="N832" s="132" t="s">
        <v>1117</v>
      </c>
      <c r="O832" s="132" t="s">
        <v>3044</v>
      </c>
      <c r="P832" s="132" t="s">
        <v>3062</v>
      </c>
      <c r="Q832" s="132" t="s">
        <v>3060</v>
      </c>
      <c r="R832" s="132" t="s">
        <v>1108</v>
      </c>
    </row>
    <row r="833" spans="1:18" x14ac:dyDescent="0.2">
      <c r="A833" t="s">
        <v>250</v>
      </c>
      <c r="B833" s="141">
        <f t="shared" si="13"/>
        <v>2.62</v>
      </c>
      <c r="C833" s="280">
        <v>45707</v>
      </c>
      <c r="D833" s="279">
        <v>45708</v>
      </c>
      <c r="E833" s="279">
        <v>45709</v>
      </c>
      <c r="F833" s="132"/>
      <c r="G833" s="132" t="s">
        <v>1108</v>
      </c>
      <c r="H833" s="132" t="s">
        <v>373</v>
      </c>
      <c r="I833" s="132" t="s">
        <v>1100</v>
      </c>
      <c r="J833" s="132" t="s">
        <v>3022</v>
      </c>
      <c r="K833" s="132" t="s">
        <v>1742</v>
      </c>
      <c r="L833" s="132" t="s">
        <v>3029</v>
      </c>
      <c r="M833" s="132" t="s">
        <v>3063</v>
      </c>
      <c r="N833" s="132" t="s">
        <v>1112</v>
      </c>
      <c r="O833" s="132" t="s">
        <v>3044</v>
      </c>
      <c r="P833" s="132" t="s">
        <v>3064</v>
      </c>
      <c r="Q833" s="132" t="s">
        <v>3065</v>
      </c>
      <c r="R833" s="132" t="s">
        <v>1108</v>
      </c>
    </row>
    <row r="834" spans="1:18" x14ac:dyDescent="0.2">
      <c r="A834" t="s">
        <v>167</v>
      </c>
      <c r="B834" s="141">
        <f t="shared" si="13"/>
        <v>2.62</v>
      </c>
      <c r="C834" s="280">
        <v>45715</v>
      </c>
      <c r="D834" s="279">
        <v>45716</v>
      </c>
      <c r="E834" s="279">
        <v>45717</v>
      </c>
      <c r="F834" s="132"/>
      <c r="G834" s="132" t="s">
        <v>1108</v>
      </c>
      <c r="H834" s="132" t="s">
        <v>373</v>
      </c>
      <c r="I834" s="132" t="s">
        <v>1100</v>
      </c>
      <c r="J834" s="132" t="s">
        <v>3022</v>
      </c>
      <c r="K834" s="132" t="s">
        <v>1742</v>
      </c>
      <c r="L834" s="132" t="s">
        <v>3029</v>
      </c>
      <c r="M834" s="132" t="s">
        <v>3066</v>
      </c>
      <c r="N834" s="132" t="s">
        <v>1112</v>
      </c>
      <c r="O834" s="132" t="s">
        <v>3044</v>
      </c>
      <c r="P834" s="132" t="s">
        <v>3067</v>
      </c>
      <c r="Q834" s="132" t="s">
        <v>3068</v>
      </c>
      <c r="R834" s="132" t="s">
        <v>1108</v>
      </c>
    </row>
    <row r="835" spans="1:18" x14ac:dyDescent="0.2">
      <c r="A835" t="s">
        <v>167</v>
      </c>
      <c r="B835" s="141">
        <f t="shared" si="13"/>
        <v>2.62</v>
      </c>
      <c r="C835" s="280">
        <v>45715</v>
      </c>
      <c r="D835" s="279">
        <v>45716</v>
      </c>
      <c r="E835" s="279">
        <v>45717</v>
      </c>
      <c r="F835" s="132"/>
      <c r="G835" s="132" t="s">
        <v>1108</v>
      </c>
      <c r="H835" s="132" t="s">
        <v>373</v>
      </c>
      <c r="I835" s="132" t="s">
        <v>1100</v>
      </c>
      <c r="J835" s="132" t="s">
        <v>3022</v>
      </c>
      <c r="K835" s="132" t="s">
        <v>1742</v>
      </c>
      <c r="L835" s="132" t="s">
        <v>3029</v>
      </c>
      <c r="M835" s="132" t="s">
        <v>3069</v>
      </c>
      <c r="N835" s="132" t="s">
        <v>1112</v>
      </c>
      <c r="O835" s="132" t="s">
        <v>3044</v>
      </c>
      <c r="P835" s="132" t="s">
        <v>3070</v>
      </c>
      <c r="Q835" s="132" t="s">
        <v>3068</v>
      </c>
      <c r="R835" s="132" t="s">
        <v>1108</v>
      </c>
    </row>
    <row r="836" spans="1:18" x14ac:dyDescent="0.2">
      <c r="A836" t="s">
        <v>167</v>
      </c>
      <c r="B836" s="141">
        <f t="shared" si="13"/>
        <v>2.62</v>
      </c>
      <c r="C836" s="280">
        <v>45715</v>
      </c>
      <c r="D836" s="279">
        <v>45716</v>
      </c>
      <c r="E836" s="279">
        <v>45717</v>
      </c>
      <c r="F836" s="132"/>
      <c r="G836" s="132" t="s">
        <v>1108</v>
      </c>
      <c r="H836" s="132" t="s">
        <v>373</v>
      </c>
      <c r="I836" s="132" t="s">
        <v>1100</v>
      </c>
      <c r="J836" s="132" t="s">
        <v>3022</v>
      </c>
      <c r="K836" s="132" t="s">
        <v>1742</v>
      </c>
      <c r="L836" s="132" t="s">
        <v>3029</v>
      </c>
      <c r="M836" s="132" t="s">
        <v>3071</v>
      </c>
      <c r="N836" s="132" t="s">
        <v>1112</v>
      </c>
      <c r="O836" s="132" t="s">
        <v>3044</v>
      </c>
      <c r="P836" s="132" t="s">
        <v>3072</v>
      </c>
      <c r="Q836" s="132" t="s">
        <v>3068</v>
      </c>
      <c r="R836" s="132" t="s">
        <v>1108</v>
      </c>
    </row>
    <row r="837" spans="1:18" x14ac:dyDescent="0.2">
      <c r="A837" t="s">
        <v>167</v>
      </c>
      <c r="B837" s="141">
        <f t="shared" si="13"/>
        <v>2.62</v>
      </c>
      <c r="C837" s="280">
        <v>45715</v>
      </c>
      <c r="D837" s="279">
        <v>45716</v>
      </c>
      <c r="E837" s="279">
        <v>45717</v>
      </c>
      <c r="F837" s="132"/>
      <c r="G837" s="132" t="s">
        <v>1108</v>
      </c>
      <c r="H837" s="132" t="s">
        <v>373</v>
      </c>
      <c r="I837" s="132" t="s">
        <v>1100</v>
      </c>
      <c r="J837" s="132" t="s">
        <v>3022</v>
      </c>
      <c r="K837" s="132" t="s">
        <v>1742</v>
      </c>
      <c r="L837" s="132" t="s">
        <v>3029</v>
      </c>
      <c r="M837" s="132" t="s">
        <v>3073</v>
      </c>
      <c r="N837" s="132" t="s">
        <v>1112</v>
      </c>
      <c r="O837" s="132" t="s">
        <v>3044</v>
      </c>
      <c r="P837" s="132" t="s">
        <v>3074</v>
      </c>
      <c r="Q837" s="132" t="s">
        <v>3068</v>
      </c>
      <c r="R837" s="132" t="s">
        <v>1108</v>
      </c>
    </row>
    <row r="838" spans="1:18" x14ac:dyDescent="0.2">
      <c r="A838" t="s">
        <v>168</v>
      </c>
      <c r="B838" s="141">
        <f t="shared" si="13"/>
        <v>4.57</v>
      </c>
      <c r="C838" s="280">
        <v>45715</v>
      </c>
      <c r="D838" s="279">
        <v>45716</v>
      </c>
      <c r="E838" s="279">
        <v>45717</v>
      </c>
      <c r="F838" s="132"/>
      <c r="G838" s="132" t="s">
        <v>1108</v>
      </c>
      <c r="H838" s="132" t="s">
        <v>373</v>
      </c>
      <c r="I838" s="132" t="s">
        <v>1100</v>
      </c>
      <c r="J838" s="132" t="s">
        <v>2671</v>
      </c>
      <c r="K838" s="132" t="s">
        <v>1927</v>
      </c>
      <c r="L838" s="132" t="s">
        <v>2740</v>
      </c>
      <c r="M838" s="132" t="s">
        <v>3075</v>
      </c>
      <c r="N838" s="132" t="s">
        <v>1112</v>
      </c>
      <c r="O838" s="132" t="s">
        <v>3044</v>
      </c>
      <c r="P838" s="132" t="s">
        <v>3076</v>
      </c>
      <c r="Q838" s="132" t="s">
        <v>3068</v>
      </c>
      <c r="R838" s="132" t="s">
        <v>1108</v>
      </c>
    </row>
    <row r="839" spans="1:18" x14ac:dyDescent="0.2">
      <c r="A839" t="s">
        <v>167</v>
      </c>
      <c r="B839" s="141">
        <f t="shared" si="13"/>
        <v>2.62</v>
      </c>
      <c r="C839" s="280">
        <v>45716</v>
      </c>
      <c r="D839" s="279">
        <v>45716</v>
      </c>
      <c r="E839" s="279">
        <v>45717</v>
      </c>
      <c r="F839" s="132"/>
      <c r="G839" s="132" t="s">
        <v>1108</v>
      </c>
      <c r="H839" s="132" t="s">
        <v>373</v>
      </c>
      <c r="I839" s="132" t="s">
        <v>1100</v>
      </c>
      <c r="J839" s="132" t="s">
        <v>3022</v>
      </c>
      <c r="K839" s="132" t="s">
        <v>1742</v>
      </c>
      <c r="L839" s="132" t="s">
        <v>3029</v>
      </c>
      <c r="M839" s="132" t="s">
        <v>3077</v>
      </c>
      <c r="N839" s="132" t="s">
        <v>1112</v>
      </c>
      <c r="O839" s="132" t="s">
        <v>3044</v>
      </c>
      <c r="P839" s="132" t="s">
        <v>3078</v>
      </c>
      <c r="Q839" s="132" t="s">
        <v>3068</v>
      </c>
      <c r="R839" s="132" t="s">
        <v>1108</v>
      </c>
    </row>
    <row r="840" spans="1:18" x14ac:dyDescent="0.2">
      <c r="A840" t="s">
        <v>167</v>
      </c>
      <c r="B840" s="141">
        <f t="shared" si="13"/>
        <v>2.64</v>
      </c>
      <c r="C840" s="280">
        <v>45718</v>
      </c>
      <c r="D840" s="279">
        <v>45720</v>
      </c>
      <c r="E840" s="279">
        <v>45720</v>
      </c>
      <c r="F840" s="132"/>
      <c r="G840" s="132" t="s">
        <v>1863</v>
      </c>
      <c r="H840" s="132" t="s">
        <v>373</v>
      </c>
      <c r="I840" s="132" t="s">
        <v>1100</v>
      </c>
      <c r="J840" s="132" t="s">
        <v>3022</v>
      </c>
      <c r="K840" s="132" t="s">
        <v>3023</v>
      </c>
      <c r="L840" s="132" t="s">
        <v>3024</v>
      </c>
      <c r="M840" s="132" t="s">
        <v>3079</v>
      </c>
      <c r="N840" s="132" t="s">
        <v>1105</v>
      </c>
      <c r="O840" s="132" t="s">
        <v>3044</v>
      </c>
      <c r="P840" s="132" t="s">
        <v>3080</v>
      </c>
      <c r="Q840" s="132" t="s">
        <v>3081</v>
      </c>
      <c r="R840" s="132" t="s">
        <v>1108</v>
      </c>
    </row>
    <row r="841" spans="1:18" x14ac:dyDescent="0.2">
      <c r="A841" t="s">
        <v>167</v>
      </c>
      <c r="B841" s="141">
        <f t="shared" si="13"/>
        <v>2.64</v>
      </c>
      <c r="C841" s="280">
        <v>45718</v>
      </c>
      <c r="D841" s="279">
        <v>45719</v>
      </c>
      <c r="E841" s="279">
        <v>45720</v>
      </c>
      <c r="F841" s="132"/>
      <c r="G841" s="132" t="s">
        <v>1665</v>
      </c>
      <c r="H841" s="132" t="s">
        <v>373</v>
      </c>
      <c r="I841" s="132" t="s">
        <v>1100</v>
      </c>
      <c r="J841" s="132" t="s">
        <v>3022</v>
      </c>
      <c r="K841" s="132" t="s">
        <v>3023</v>
      </c>
      <c r="L841" s="132" t="s">
        <v>3024</v>
      </c>
      <c r="M841" s="132" t="s">
        <v>3082</v>
      </c>
      <c r="N841" s="132" t="s">
        <v>1105</v>
      </c>
      <c r="O841" s="132" t="s">
        <v>3044</v>
      </c>
      <c r="P841" s="132" t="s">
        <v>3083</v>
      </c>
      <c r="Q841" s="132" t="s">
        <v>3081</v>
      </c>
      <c r="R841" s="132" t="s">
        <v>1108</v>
      </c>
    </row>
    <row r="842" spans="1:18" x14ac:dyDescent="0.2">
      <c r="A842" t="s">
        <v>312</v>
      </c>
      <c r="B842" s="141">
        <f t="shared" si="13"/>
        <v>60.52</v>
      </c>
      <c r="C842" s="280">
        <v>45719</v>
      </c>
      <c r="D842" s="279">
        <v>45720</v>
      </c>
      <c r="E842" s="279">
        <v>45720</v>
      </c>
      <c r="F842" s="132"/>
      <c r="G842" s="132" t="s">
        <v>1108</v>
      </c>
      <c r="H842" s="132" t="s">
        <v>373</v>
      </c>
      <c r="I842" s="132" t="s">
        <v>1100</v>
      </c>
      <c r="J842" s="132" t="s">
        <v>3084</v>
      </c>
      <c r="K842" s="132" t="s">
        <v>3085</v>
      </c>
      <c r="L842" s="132" t="s">
        <v>3086</v>
      </c>
      <c r="M842" s="132" t="s">
        <v>3087</v>
      </c>
      <c r="N842" s="132" t="s">
        <v>1117</v>
      </c>
      <c r="O842" s="132" t="s">
        <v>3044</v>
      </c>
      <c r="P842" s="132" t="s">
        <v>3088</v>
      </c>
      <c r="Q842" s="132" t="s">
        <v>3081</v>
      </c>
      <c r="R842" s="132" t="s">
        <v>1108</v>
      </c>
    </row>
    <row r="843" spans="1:18" x14ac:dyDescent="0.2">
      <c r="A843" t="s">
        <v>312</v>
      </c>
      <c r="B843" s="141">
        <f t="shared" si="13"/>
        <v>60.52</v>
      </c>
      <c r="C843" s="280">
        <v>45719</v>
      </c>
      <c r="D843" s="279">
        <v>45720</v>
      </c>
      <c r="E843" s="279">
        <v>45720</v>
      </c>
      <c r="F843" s="132"/>
      <c r="G843" s="132" t="s">
        <v>1108</v>
      </c>
      <c r="H843" s="132" t="s">
        <v>373</v>
      </c>
      <c r="I843" s="132" t="s">
        <v>1100</v>
      </c>
      <c r="J843" s="132" t="s">
        <v>3084</v>
      </c>
      <c r="K843" s="132" t="s">
        <v>3085</v>
      </c>
      <c r="L843" s="132" t="s">
        <v>3086</v>
      </c>
      <c r="M843" s="132" t="s">
        <v>3089</v>
      </c>
      <c r="N843" s="132" t="s">
        <v>1117</v>
      </c>
      <c r="O843" s="132" t="s">
        <v>3044</v>
      </c>
      <c r="P843" s="132" t="s">
        <v>3090</v>
      </c>
      <c r="Q843" s="132" t="s">
        <v>3081</v>
      </c>
      <c r="R843" s="132" t="s">
        <v>1108</v>
      </c>
    </row>
    <row r="844" spans="1:18" x14ac:dyDescent="0.2">
      <c r="A844" t="s">
        <v>312</v>
      </c>
      <c r="B844" s="141">
        <f t="shared" si="13"/>
        <v>60.52</v>
      </c>
      <c r="C844" s="280">
        <v>45719</v>
      </c>
      <c r="D844" s="279">
        <v>45720</v>
      </c>
      <c r="E844" s="279">
        <v>45720</v>
      </c>
      <c r="F844" s="132"/>
      <c r="G844" s="132" t="s">
        <v>1108</v>
      </c>
      <c r="H844" s="132" t="s">
        <v>373</v>
      </c>
      <c r="I844" s="132" t="s">
        <v>1100</v>
      </c>
      <c r="J844" s="132" t="s">
        <v>3084</v>
      </c>
      <c r="K844" s="132" t="s">
        <v>3085</v>
      </c>
      <c r="L844" s="132" t="s">
        <v>3086</v>
      </c>
      <c r="M844" s="132" t="s">
        <v>3091</v>
      </c>
      <c r="N844" s="132" t="s">
        <v>1117</v>
      </c>
      <c r="O844" s="132" t="s">
        <v>3044</v>
      </c>
      <c r="P844" s="132" t="s">
        <v>3092</v>
      </c>
      <c r="Q844" s="132" t="s">
        <v>3081</v>
      </c>
      <c r="R844" s="132" t="s">
        <v>1108</v>
      </c>
    </row>
    <row r="845" spans="1:18" x14ac:dyDescent="0.2">
      <c r="A845" t="s">
        <v>312</v>
      </c>
      <c r="B845" s="141">
        <f t="shared" si="13"/>
        <v>60.52</v>
      </c>
      <c r="C845" s="280">
        <v>45719</v>
      </c>
      <c r="D845" s="279">
        <v>45720</v>
      </c>
      <c r="E845" s="279">
        <v>45720</v>
      </c>
      <c r="F845" s="132"/>
      <c r="G845" s="132" t="s">
        <v>1108</v>
      </c>
      <c r="H845" s="132" t="s">
        <v>373</v>
      </c>
      <c r="I845" s="132" t="s">
        <v>1100</v>
      </c>
      <c r="J845" s="132" t="s">
        <v>3084</v>
      </c>
      <c r="K845" s="132" t="s">
        <v>3085</v>
      </c>
      <c r="L845" s="132" t="s">
        <v>3086</v>
      </c>
      <c r="M845" s="132" t="s">
        <v>3093</v>
      </c>
      <c r="N845" s="132" t="s">
        <v>1117</v>
      </c>
      <c r="O845" s="132" t="s">
        <v>3044</v>
      </c>
      <c r="P845" s="132" t="s">
        <v>3094</v>
      </c>
      <c r="Q845" s="132" t="s">
        <v>3081</v>
      </c>
      <c r="R845" s="132" t="s">
        <v>1108</v>
      </c>
    </row>
    <row r="846" spans="1:18" x14ac:dyDescent="0.2">
      <c r="A846" t="s">
        <v>312</v>
      </c>
      <c r="B846" s="141">
        <f t="shared" si="13"/>
        <v>60.52</v>
      </c>
      <c r="C846" s="280">
        <v>45719</v>
      </c>
      <c r="D846" s="279">
        <v>45720</v>
      </c>
      <c r="E846" s="279">
        <v>45720</v>
      </c>
      <c r="F846" s="132"/>
      <c r="G846" s="132" t="s">
        <v>1108</v>
      </c>
      <c r="H846" s="132" t="s">
        <v>373</v>
      </c>
      <c r="I846" s="132" t="s">
        <v>1100</v>
      </c>
      <c r="J846" s="132" t="s">
        <v>3084</v>
      </c>
      <c r="K846" s="132" t="s">
        <v>3085</v>
      </c>
      <c r="L846" s="132" t="s">
        <v>3086</v>
      </c>
      <c r="M846" s="132" t="s">
        <v>3095</v>
      </c>
      <c r="N846" s="132" t="s">
        <v>1117</v>
      </c>
      <c r="O846" s="132" t="s">
        <v>3044</v>
      </c>
      <c r="P846" s="132" t="s">
        <v>3096</v>
      </c>
      <c r="Q846" s="132" t="s">
        <v>3081</v>
      </c>
      <c r="R846" s="132" t="s">
        <v>1108</v>
      </c>
    </row>
    <row r="847" spans="1:18" x14ac:dyDescent="0.2">
      <c r="A847" t="s">
        <v>312</v>
      </c>
      <c r="B847" s="141">
        <f t="shared" si="13"/>
        <v>60.15</v>
      </c>
      <c r="C847" s="280">
        <v>45719</v>
      </c>
      <c r="D847" s="279">
        <v>45719</v>
      </c>
      <c r="E847" s="279">
        <v>45720</v>
      </c>
      <c r="F847" s="132"/>
      <c r="G847" s="132" t="s">
        <v>1108</v>
      </c>
      <c r="H847" s="132" t="s">
        <v>373</v>
      </c>
      <c r="I847" s="132" t="s">
        <v>1100</v>
      </c>
      <c r="J847" s="132" t="s">
        <v>3084</v>
      </c>
      <c r="K847" s="132" t="s">
        <v>3097</v>
      </c>
      <c r="L847" s="132" t="s">
        <v>3098</v>
      </c>
      <c r="M847" s="132" t="s">
        <v>3099</v>
      </c>
      <c r="N847" s="132" t="s">
        <v>1112</v>
      </c>
      <c r="O847" s="132" t="s">
        <v>3044</v>
      </c>
      <c r="P847" s="132" t="s">
        <v>3100</v>
      </c>
      <c r="Q847" s="132" t="s">
        <v>3081</v>
      </c>
      <c r="R847" s="132" t="s">
        <v>1108</v>
      </c>
    </row>
    <row r="848" spans="1:18" x14ac:dyDescent="0.2">
      <c r="A848" t="s">
        <v>312</v>
      </c>
      <c r="B848" s="141">
        <f t="shared" si="13"/>
        <v>60.15</v>
      </c>
      <c r="C848" s="280">
        <v>45719</v>
      </c>
      <c r="D848" s="279">
        <v>45719</v>
      </c>
      <c r="E848" s="279">
        <v>45720</v>
      </c>
      <c r="F848" s="132"/>
      <c r="G848" s="132" t="s">
        <v>1108</v>
      </c>
      <c r="H848" s="132" t="s">
        <v>373</v>
      </c>
      <c r="I848" s="132" t="s">
        <v>1100</v>
      </c>
      <c r="J848" s="132" t="s">
        <v>3084</v>
      </c>
      <c r="K848" s="132" t="s">
        <v>3097</v>
      </c>
      <c r="L848" s="132" t="s">
        <v>3098</v>
      </c>
      <c r="M848" s="132" t="s">
        <v>3101</v>
      </c>
      <c r="N848" s="132" t="s">
        <v>1112</v>
      </c>
      <c r="O848" s="132" t="s">
        <v>3044</v>
      </c>
      <c r="P848" s="132" t="s">
        <v>3102</v>
      </c>
      <c r="Q848" s="132" t="s">
        <v>3081</v>
      </c>
      <c r="R848" s="132" t="s">
        <v>1108</v>
      </c>
    </row>
    <row r="849" spans="1:18" x14ac:dyDescent="0.2">
      <c r="A849" t="s">
        <v>312</v>
      </c>
      <c r="B849" s="141">
        <f t="shared" si="13"/>
        <v>60.52</v>
      </c>
      <c r="C849" s="280">
        <v>45719</v>
      </c>
      <c r="D849" s="279">
        <v>45720</v>
      </c>
      <c r="E849" s="279">
        <v>45720</v>
      </c>
      <c r="F849" s="132"/>
      <c r="G849" s="132" t="s">
        <v>1330</v>
      </c>
      <c r="H849" s="132" t="s">
        <v>373</v>
      </c>
      <c r="I849" s="132" t="s">
        <v>1100</v>
      </c>
      <c r="J849" s="132" t="s">
        <v>3084</v>
      </c>
      <c r="K849" s="132" t="s">
        <v>3085</v>
      </c>
      <c r="L849" s="132" t="s">
        <v>3086</v>
      </c>
      <c r="M849" s="132" t="s">
        <v>3103</v>
      </c>
      <c r="N849" s="132" t="s">
        <v>1105</v>
      </c>
      <c r="O849" s="132" t="s">
        <v>3044</v>
      </c>
      <c r="P849" s="132" t="s">
        <v>3104</v>
      </c>
      <c r="Q849" s="132" t="s">
        <v>3081</v>
      </c>
      <c r="R849" s="132" t="s">
        <v>1108</v>
      </c>
    </row>
    <row r="850" spans="1:18" x14ac:dyDescent="0.2">
      <c r="A850" t="s">
        <v>312</v>
      </c>
      <c r="B850" s="141">
        <f t="shared" si="13"/>
        <v>60.15</v>
      </c>
      <c r="C850" s="280">
        <v>45719</v>
      </c>
      <c r="D850" s="279">
        <v>45719</v>
      </c>
      <c r="E850" s="279">
        <v>45720</v>
      </c>
      <c r="F850" s="132"/>
      <c r="G850" s="132" t="s">
        <v>1108</v>
      </c>
      <c r="H850" s="132" t="s">
        <v>373</v>
      </c>
      <c r="I850" s="132" t="s">
        <v>1100</v>
      </c>
      <c r="J850" s="132" t="s">
        <v>3084</v>
      </c>
      <c r="K850" s="132" t="s">
        <v>3097</v>
      </c>
      <c r="L850" s="132" t="s">
        <v>3098</v>
      </c>
      <c r="M850" s="132" t="s">
        <v>3105</v>
      </c>
      <c r="N850" s="132" t="s">
        <v>1112</v>
      </c>
      <c r="O850" s="132" t="s">
        <v>3044</v>
      </c>
      <c r="P850" s="132" t="s">
        <v>3106</v>
      </c>
      <c r="Q850" s="132" t="s">
        <v>3081</v>
      </c>
      <c r="R850" s="132" t="s">
        <v>1108</v>
      </c>
    </row>
    <row r="851" spans="1:18" x14ac:dyDescent="0.2">
      <c r="A851" t="s">
        <v>312</v>
      </c>
      <c r="B851" s="141">
        <f t="shared" si="13"/>
        <v>60.52</v>
      </c>
      <c r="C851" s="280">
        <v>45719</v>
      </c>
      <c r="D851" s="279">
        <v>45720</v>
      </c>
      <c r="E851" s="279">
        <v>45720</v>
      </c>
      <c r="F851" s="132"/>
      <c r="G851" s="132" t="s">
        <v>3107</v>
      </c>
      <c r="H851" s="132" t="s">
        <v>373</v>
      </c>
      <c r="I851" s="132" t="s">
        <v>1100</v>
      </c>
      <c r="J851" s="132" t="s">
        <v>3084</v>
      </c>
      <c r="K851" s="132" t="s">
        <v>3085</v>
      </c>
      <c r="L851" s="132" t="s">
        <v>3086</v>
      </c>
      <c r="M851" s="132" t="s">
        <v>3108</v>
      </c>
      <c r="N851" s="132" t="s">
        <v>1105</v>
      </c>
      <c r="O851" s="132" t="s">
        <v>3044</v>
      </c>
      <c r="P851" s="132" t="s">
        <v>3109</v>
      </c>
      <c r="Q851" s="132" t="s">
        <v>3081</v>
      </c>
      <c r="R851" s="132" t="s">
        <v>1108</v>
      </c>
    </row>
    <row r="852" spans="1:18" x14ac:dyDescent="0.2">
      <c r="A852" t="s">
        <v>312</v>
      </c>
      <c r="B852" s="141">
        <f t="shared" si="13"/>
        <v>60.15</v>
      </c>
      <c r="C852" s="280">
        <v>45719</v>
      </c>
      <c r="D852" s="279">
        <v>45719</v>
      </c>
      <c r="E852" s="279">
        <v>45720</v>
      </c>
      <c r="F852" s="132"/>
      <c r="G852" s="132" t="s">
        <v>1108</v>
      </c>
      <c r="H852" s="132" t="s">
        <v>373</v>
      </c>
      <c r="I852" s="132" t="s">
        <v>1100</v>
      </c>
      <c r="J852" s="132" t="s">
        <v>3084</v>
      </c>
      <c r="K852" s="132" t="s">
        <v>3097</v>
      </c>
      <c r="L852" s="132" t="s">
        <v>3098</v>
      </c>
      <c r="M852" s="132" t="s">
        <v>3110</v>
      </c>
      <c r="N852" s="132" t="s">
        <v>1112</v>
      </c>
      <c r="O852" s="132" t="s">
        <v>3044</v>
      </c>
      <c r="P852" s="132" t="s">
        <v>3111</v>
      </c>
      <c r="Q852" s="132" t="s">
        <v>3081</v>
      </c>
      <c r="R852" s="132" t="s">
        <v>1108</v>
      </c>
    </row>
    <row r="853" spans="1:18" x14ac:dyDescent="0.2">
      <c r="A853" t="s">
        <v>312</v>
      </c>
      <c r="B853" s="141">
        <f t="shared" si="13"/>
        <v>60.52</v>
      </c>
      <c r="C853" s="280">
        <v>45719</v>
      </c>
      <c r="D853" s="279">
        <v>45720</v>
      </c>
      <c r="E853" s="279">
        <v>45720</v>
      </c>
      <c r="F853" s="132"/>
      <c r="G853" s="132" t="s">
        <v>1108</v>
      </c>
      <c r="H853" s="132" t="s">
        <v>373</v>
      </c>
      <c r="I853" s="132" t="s">
        <v>1100</v>
      </c>
      <c r="J853" s="132" t="s">
        <v>3084</v>
      </c>
      <c r="K853" s="132" t="s">
        <v>3085</v>
      </c>
      <c r="L853" s="132" t="s">
        <v>3086</v>
      </c>
      <c r="M853" s="132" t="s">
        <v>3112</v>
      </c>
      <c r="N853" s="132" t="s">
        <v>1117</v>
      </c>
      <c r="O853" s="132" t="s">
        <v>3044</v>
      </c>
      <c r="P853" s="132" t="s">
        <v>3113</v>
      </c>
      <c r="Q853" s="132" t="s">
        <v>3081</v>
      </c>
      <c r="R853" s="132" t="s">
        <v>1108</v>
      </c>
    </row>
    <row r="854" spans="1:18" x14ac:dyDescent="0.2">
      <c r="A854" t="s">
        <v>312</v>
      </c>
      <c r="B854" s="141">
        <f t="shared" si="13"/>
        <v>60.15</v>
      </c>
      <c r="C854" s="280">
        <v>45719</v>
      </c>
      <c r="D854" s="279">
        <v>45719</v>
      </c>
      <c r="E854" s="279">
        <v>45720</v>
      </c>
      <c r="F854" s="132"/>
      <c r="G854" s="132" t="s">
        <v>1108</v>
      </c>
      <c r="H854" s="132" t="s">
        <v>373</v>
      </c>
      <c r="I854" s="132" t="s">
        <v>1100</v>
      </c>
      <c r="J854" s="132" t="s">
        <v>3084</v>
      </c>
      <c r="K854" s="132" t="s">
        <v>3097</v>
      </c>
      <c r="L854" s="132" t="s">
        <v>3098</v>
      </c>
      <c r="M854" s="132" t="s">
        <v>3114</v>
      </c>
      <c r="N854" s="132" t="s">
        <v>1112</v>
      </c>
      <c r="O854" s="132" t="s">
        <v>3044</v>
      </c>
      <c r="P854" s="132" t="s">
        <v>3115</v>
      </c>
      <c r="Q854" s="132" t="s">
        <v>3081</v>
      </c>
      <c r="R854" s="132" t="s">
        <v>1108</v>
      </c>
    </row>
    <row r="855" spans="1:18" x14ac:dyDescent="0.2">
      <c r="A855" t="s">
        <v>312</v>
      </c>
      <c r="B855" s="141">
        <f t="shared" si="13"/>
        <v>60.52</v>
      </c>
      <c r="C855" s="280">
        <v>45719</v>
      </c>
      <c r="D855" s="279">
        <v>45720</v>
      </c>
      <c r="E855" s="279">
        <v>45720</v>
      </c>
      <c r="F855" s="132"/>
      <c r="G855" s="132" t="s">
        <v>1108</v>
      </c>
      <c r="H855" s="132" t="s">
        <v>373</v>
      </c>
      <c r="I855" s="132" t="s">
        <v>1100</v>
      </c>
      <c r="J855" s="132" t="s">
        <v>3084</v>
      </c>
      <c r="K855" s="132" t="s">
        <v>3085</v>
      </c>
      <c r="L855" s="132" t="s">
        <v>3086</v>
      </c>
      <c r="M855" s="132" t="s">
        <v>3116</v>
      </c>
      <c r="N855" s="132" t="s">
        <v>1117</v>
      </c>
      <c r="O855" s="132" t="s">
        <v>3044</v>
      </c>
      <c r="P855" s="132" t="s">
        <v>3117</v>
      </c>
      <c r="Q855" s="132" t="s">
        <v>3081</v>
      </c>
      <c r="R855" s="132" t="s">
        <v>1108</v>
      </c>
    </row>
    <row r="856" spans="1:18" x14ac:dyDescent="0.2">
      <c r="A856" t="s">
        <v>312</v>
      </c>
      <c r="B856" s="141">
        <f t="shared" si="13"/>
        <v>60.52</v>
      </c>
      <c r="C856" s="280">
        <v>45719</v>
      </c>
      <c r="D856" s="279">
        <v>45720</v>
      </c>
      <c r="E856" s="279">
        <v>45720</v>
      </c>
      <c r="F856" s="132"/>
      <c r="G856" s="132" t="s">
        <v>1108</v>
      </c>
      <c r="H856" s="132" t="s">
        <v>373</v>
      </c>
      <c r="I856" s="132" t="s">
        <v>1100</v>
      </c>
      <c r="J856" s="132" t="s">
        <v>3084</v>
      </c>
      <c r="K856" s="132" t="s">
        <v>3085</v>
      </c>
      <c r="L856" s="132" t="s">
        <v>3086</v>
      </c>
      <c r="M856" s="132" t="s">
        <v>3118</v>
      </c>
      <c r="N856" s="132" t="s">
        <v>1117</v>
      </c>
      <c r="O856" s="132" t="s">
        <v>3044</v>
      </c>
      <c r="P856" s="132" t="s">
        <v>3119</v>
      </c>
      <c r="Q856" s="132" t="s">
        <v>3081</v>
      </c>
      <c r="R856" s="132" t="s">
        <v>1108</v>
      </c>
    </row>
    <row r="857" spans="1:18" x14ac:dyDescent="0.2">
      <c r="A857" t="s">
        <v>312</v>
      </c>
      <c r="B857" s="141">
        <f t="shared" si="13"/>
        <v>60.15</v>
      </c>
      <c r="C857" s="280">
        <v>45719</v>
      </c>
      <c r="D857" s="279">
        <v>45719</v>
      </c>
      <c r="E857" s="279">
        <v>45720</v>
      </c>
      <c r="F857" s="132"/>
      <c r="G857" s="132" t="s">
        <v>1108</v>
      </c>
      <c r="H857" s="132" t="s">
        <v>373</v>
      </c>
      <c r="I857" s="132" t="s">
        <v>1100</v>
      </c>
      <c r="J857" s="132" t="s">
        <v>3084</v>
      </c>
      <c r="K857" s="132" t="s">
        <v>3097</v>
      </c>
      <c r="L857" s="132" t="s">
        <v>3098</v>
      </c>
      <c r="M857" s="132" t="s">
        <v>3120</v>
      </c>
      <c r="N857" s="132" t="s">
        <v>1112</v>
      </c>
      <c r="O857" s="132" t="s">
        <v>3044</v>
      </c>
      <c r="P857" s="132" t="s">
        <v>3121</v>
      </c>
      <c r="Q857" s="132" t="s">
        <v>3081</v>
      </c>
      <c r="R857" s="132" t="s">
        <v>1108</v>
      </c>
    </row>
    <row r="858" spans="1:18" x14ac:dyDescent="0.2">
      <c r="A858" t="s">
        <v>312</v>
      </c>
      <c r="B858" s="141">
        <f t="shared" si="13"/>
        <v>60.15</v>
      </c>
      <c r="C858" s="280">
        <v>45719</v>
      </c>
      <c r="D858" s="279">
        <v>45719</v>
      </c>
      <c r="E858" s="279">
        <v>45720</v>
      </c>
      <c r="F858" s="132"/>
      <c r="G858" s="132" t="s">
        <v>1108</v>
      </c>
      <c r="H858" s="132" t="s">
        <v>373</v>
      </c>
      <c r="I858" s="132" t="s">
        <v>1100</v>
      </c>
      <c r="J858" s="132" t="s">
        <v>3084</v>
      </c>
      <c r="K858" s="132" t="s">
        <v>3097</v>
      </c>
      <c r="L858" s="132" t="s">
        <v>3098</v>
      </c>
      <c r="M858" s="132" t="s">
        <v>3122</v>
      </c>
      <c r="N858" s="132" t="s">
        <v>1112</v>
      </c>
      <c r="O858" s="132" t="s">
        <v>3044</v>
      </c>
      <c r="P858" s="132" t="s">
        <v>3123</v>
      </c>
      <c r="Q858" s="132" t="s">
        <v>3081</v>
      </c>
      <c r="R858" s="132" t="s">
        <v>1108</v>
      </c>
    </row>
    <row r="859" spans="1:18" x14ac:dyDescent="0.2">
      <c r="A859" t="s">
        <v>312</v>
      </c>
      <c r="B859" s="141">
        <f t="shared" si="13"/>
        <v>60.15</v>
      </c>
      <c r="C859" s="280">
        <v>45719</v>
      </c>
      <c r="D859" s="279">
        <v>45719</v>
      </c>
      <c r="E859" s="279">
        <v>45720</v>
      </c>
      <c r="F859" s="132"/>
      <c r="G859" s="132" t="s">
        <v>1108</v>
      </c>
      <c r="H859" s="132" t="s">
        <v>373</v>
      </c>
      <c r="I859" s="132" t="s">
        <v>1100</v>
      </c>
      <c r="J859" s="132" t="s">
        <v>3084</v>
      </c>
      <c r="K859" s="132" t="s">
        <v>3097</v>
      </c>
      <c r="L859" s="132" t="s">
        <v>3098</v>
      </c>
      <c r="M859" s="132" t="s">
        <v>3124</v>
      </c>
      <c r="N859" s="132" t="s">
        <v>1112</v>
      </c>
      <c r="O859" s="132" t="s">
        <v>3044</v>
      </c>
      <c r="P859" s="132" t="s">
        <v>3125</v>
      </c>
      <c r="Q859" s="132" t="s">
        <v>3081</v>
      </c>
      <c r="R859" s="132" t="s">
        <v>1108</v>
      </c>
    </row>
    <row r="860" spans="1:18" x14ac:dyDescent="0.2">
      <c r="A860" t="s">
        <v>312</v>
      </c>
      <c r="B860" s="141">
        <f t="shared" si="13"/>
        <v>60.15</v>
      </c>
      <c r="C860" s="280">
        <v>45719</v>
      </c>
      <c r="D860" s="279">
        <v>45719</v>
      </c>
      <c r="E860" s="279">
        <v>45720</v>
      </c>
      <c r="F860" s="132"/>
      <c r="G860" s="132" t="s">
        <v>1108</v>
      </c>
      <c r="H860" s="132" t="s">
        <v>373</v>
      </c>
      <c r="I860" s="132" t="s">
        <v>1100</v>
      </c>
      <c r="J860" s="132" t="s">
        <v>3084</v>
      </c>
      <c r="K860" s="132" t="s">
        <v>3097</v>
      </c>
      <c r="L860" s="132" t="s">
        <v>3098</v>
      </c>
      <c r="M860" s="132" t="s">
        <v>3126</v>
      </c>
      <c r="N860" s="132" t="s">
        <v>1112</v>
      </c>
      <c r="O860" s="132" t="s">
        <v>3044</v>
      </c>
      <c r="P860" s="132" t="s">
        <v>3127</v>
      </c>
      <c r="Q860" s="132" t="s">
        <v>3081</v>
      </c>
      <c r="R860" s="132" t="s">
        <v>1108</v>
      </c>
    </row>
    <row r="861" spans="1:18" x14ac:dyDescent="0.2">
      <c r="A861" t="s">
        <v>312</v>
      </c>
      <c r="B861" s="141">
        <f t="shared" si="13"/>
        <v>60.15</v>
      </c>
      <c r="C861" s="280">
        <v>45719</v>
      </c>
      <c r="D861" s="279">
        <v>45719</v>
      </c>
      <c r="E861" s="279">
        <v>45720</v>
      </c>
      <c r="F861" s="132"/>
      <c r="G861" s="132" t="s">
        <v>1108</v>
      </c>
      <c r="H861" s="132" t="s">
        <v>373</v>
      </c>
      <c r="I861" s="132" t="s">
        <v>1100</v>
      </c>
      <c r="J861" s="132" t="s">
        <v>3084</v>
      </c>
      <c r="K861" s="132" t="s">
        <v>3097</v>
      </c>
      <c r="L861" s="132" t="s">
        <v>3098</v>
      </c>
      <c r="M861" s="132" t="s">
        <v>3128</v>
      </c>
      <c r="N861" s="132" t="s">
        <v>1112</v>
      </c>
      <c r="O861" s="132" t="s">
        <v>3044</v>
      </c>
      <c r="P861" s="132" t="s">
        <v>3129</v>
      </c>
      <c r="Q861" s="132" t="s">
        <v>3081</v>
      </c>
      <c r="R861" s="132" t="s">
        <v>1108</v>
      </c>
    </row>
    <row r="862" spans="1:18" x14ac:dyDescent="0.2">
      <c r="A862" t="s">
        <v>312</v>
      </c>
      <c r="B862" s="141">
        <f t="shared" si="13"/>
        <v>60.15</v>
      </c>
      <c r="C862" s="280">
        <v>45719</v>
      </c>
      <c r="D862" s="279">
        <v>45719</v>
      </c>
      <c r="E862" s="279">
        <v>45720</v>
      </c>
      <c r="F862" s="132"/>
      <c r="G862" s="132" t="s">
        <v>1108</v>
      </c>
      <c r="H862" s="132" t="s">
        <v>373</v>
      </c>
      <c r="I862" s="132" t="s">
        <v>1100</v>
      </c>
      <c r="J862" s="132" t="s">
        <v>3084</v>
      </c>
      <c r="K862" s="132" t="s">
        <v>3097</v>
      </c>
      <c r="L862" s="132" t="s">
        <v>3098</v>
      </c>
      <c r="M862" s="132" t="s">
        <v>3130</v>
      </c>
      <c r="N862" s="132" t="s">
        <v>1112</v>
      </c>
      <c r="O862" s="132" t="s">
        <v>3044</v>
      </c>
      <c r="P862" s="132" t="s">
        <v>3131</v>
      </c>
      <c r="Q862" s="132" t="s">
        <v>3081</v>
      </c>
      <c r="R862" s="132" t="s">
        <v>1108</v>
      </c>
    </row>
    <row r="863" spans="1:18" x14ac:dyDescent="0.2">
      <c r="A863" t="s">
        <v>312</v>
      </c>
      <c r="B863" s="141">
        <f t="shared" si="13"/>
        <v>60.15</v>
      </c>
      <c r="C863" s="280">
        <v>45719</v>
      </c>
      <c r="D863" s="279">
        <v>45719</v>
      </c>
      <c r="E863" s="279">
        <v>45720</v>
      </c>
      <c r="F863" s="132"/>
      <c r="G863" s="132" t="s">
        <v>1108</v>
      </c>
      <c r="H863" s="132" t="s">
        <v>373</v>
      </c>
      <c r="I863" s="132" t="s">
        <v>1100</v>
      </c>
      <c r="J863" s="132" t="s">
        <v>3084</v>
      </c>
      <c r="K863" s="132" t="s">
        <v>3097</v>
      </c>
      <c r="L863" s="132" t="s">
        <v>3098</v>
      </c>
      <c r="M863" s="132" t="s">
        <v>3132</v>
      </c>
      <c r="N863" s="132" t="s">
        <v>1112</v>
      </c>
      <c r="O863" s="132" t="s">
        <v>3044</v>
      </c>
      <c r="P863" s="132" t="s">
        <v>3133</v>
      </c>
      <c r="Q863" s="132" t="s">
        <v>3081</v>
      </c>
      <c r="R863" s="132" t="s">
        <v>1108</v>
      </c>
    </row>
    <row r="864" spans="1:18" x14ac:dyDescent="0.2">
      <c r="A864" t="s">
        <v>312</v>
      </c>
      <c r="B864" s="141">
        <f t="shared" si="13"/>
        <v>60.15</v>
      </c>
      <c r="C864" s="280">
        <v>45719</v>
      </c>
      <c r="D864" s="279">
        <v>45719</v>
      </c>
      <c r="E864" s="279">
        <v>45720</v>
      </c>
      <c r="F864" s="132"/>
      <c r="G864" s="132" t="s">
        <v>1108</v>
      </c>
      <c r="H864" s="132" t="s">
        <v>373</v>
      </c>
      <c r="I864" s="132" t="s">
        <v>1100</v>
      </c>
      <c r="J864" s="132" t="s">
        <v>3084</v>
      </c>
      <c r="K864" s="132" t="s">
        <v>3097</v>
      </c>
      <c r="L864" s="132" t="s">
        <v>3098</v>
      </c>
      <c r="M864" s="132" t="s">
        <v>3134</v>
      </c>
      <c r="N864" s="132" t="s">
        <v>1112</v>
      </c>
      <c r="O864" s="132" t="s">
        <v>3044</v>
      </c>
      <c r="P864" s="132" t="s">
        <v>3135</v>
      </c>
      <c r="Q864" s="132" t="s">
        <v>3081</v>
      </c>
      <c r="R864" s="132" t="s">
        <v>1108</v>
      </c>
    </row>
    <row r="865" spans="1:18" x14ac:dyDescent="0.2">
      <c r="A865" t="s">
        <v>312</v>
      </c>
      <c r="B865" s="141">
        <f t="shared" si="13"/>
        <v>60.15</v>
      </c>
      <c r="C865" s="280">
        <v>45719</v>
      </c>
      <c r="D865" s="279">
        <v>45719</v>
      </c>
      <c r="E865" s="279">
        <v>45720</v>
      </c>
      <c r="F865" s="132"/>
      <c r="G865" s="132" t="s">
        <v>1108</v>
      </c>
      <c r="H865" s="132" t="s">
        <v>373</v>
      </c>
      <c r="I865" s="132" t="s">
        <v>1100</v>
      </c>
      <c r="J865" s="132" t="s">
        <v>3084</v>
      </c>
      <c r="K865" s="132" t="s">
        <v>3097</v>
      </c>
      <c r="L865" s="132" t="s">
        <v>3098</v>
      </c>
      <c r="M865" s="132" t="s">
        <v>3136</v>
      </c>
      <c r="N865" s="132" t="s">
        <v>1112</v>
      </c>
      <c r="O865" s="132" t="s">
        <v>3044</v>
      </c>
      <c r="P865" s="132" t="s">
        <v>3137</v>
      </c>
      <c r="Q865" s="132" t="s">
        <v>3081</v>
      </c>
      <c r="R865" s="132" t="s">
        <v>1108</v>
      </c>
    </row>
    <row r="866" spans="1:18" x14ac:dyDescent="0.2">
      <c r="A866" t="s">
        <v>312</v>
      </c>
      <c r="B866" s="141">
        <f t="shared" si="13"/>
        <v>120.60000000000001</v>
      </c>
      <c r="C866" s="280">
        <v>45719</v>
      </c>
      <c r="D866" s="279">
        <v>45719</v>
      </c>
      <c r="E866" s="279">
        <v>45720</v>
      </c>
      <c r="F866" s="132"/>
      <c r="G866" s="132" t="s">
        <v>1108</v>
      </c>
      <c r="H866" s="132" t="s">
        <v>373</v>
      </c>
      <c r="I866" s="132" t="s">
        <v>1100</v>
      </c>
      <c r="J866" s="132" t="s">
        <v>3138</v>
      </c>
      <c r="K866" s="132" t="s">
        <v>3139</v>
      </c>
      <c r="L866" s="132" t="s">
        <v>3140</v>
      </c>
      <c r="M866" s="132" t="s">
        <v>3141</v>
      </c>
      <c r="N866" s="132" t="s">
        <v>1112</v>
      </c>
      <c r="O866" s="132" t="s">
        <v>3044</v>
      </c>
      <c r="P866" s="132" t="s">
        <v>3142</v>
      </c>
      <c r="Q866" s="132" t="s">
        <v>3081</v>
      </c>
      <c r="R866" s="132" t="s">
        <v>1108</v>
      </c>
    </row>
    <row r="867" spans="1:18" x14ac:dyDescent="0.2">
      <c r="A867" t="s">
        <v>312</v>
      </c>
      <c r="B867" s="141">
        <f t="shared" si="13"/>
        <v>120.60000000000001</v>
      </c>
      <c r="C867" s="280">
        <v>45719</v>
      </c>
      <c r="D867" s="279">
        <v>45719</v>
      </c>
      <c r="E867" s="279">
        <v>45720</v>
      </c>
      <c r="F867" s="132"/>
      <c r="G867" s="132" t="s">
        <v>1108</v>
      </c>
      <c r="H867" s="132" t="s">
        <v>373</v>
      </c>
      <c r="I867" s="132" t="s">
        <v>1100</v>
      </c>
      <c r="J867" s="132" t="s">
        <v>3138</v>
      </c>
      <c r="K867" s="132" t="s">
        <v>3139</v>
      </c>
      <c r="L867" s="132" t="s">
        <v>3140</v>
      </c>
      <c r="M867" s="132" t="s">
        <v>3143</v>
      </c>
      <c r="N867" s="132" t="s">
        <v>1112</v>
      </c>
      <c r="O867" s="132" t="s">
        <v>3044</v>
      </c>
      <c r="P867" s="132" t="s">
        <v>3144</v>
      </c>
      <c r="Q867" s="132" t="s">
        <v>3081</v>
      </c>
      <c r="R867" s="132" t="s">
        <v>1108</v>
      </c>
    </row>
    <row r="868" spans="1:18" x14ac:dyDescent="0.2">
      <c r="A868" t="s">
        <v>312</v>
      </c>
      <c r="B868" s="141">
        <f t="shared" si="13"/>
        <v>60.15</v>
      </c>
      <c r="C868" s="280">
        <v>45719</v>
      </c>
      <c r="D868" s="279">
        <v>45719</v>
      </c>
      <c r="E868" s="279">
        <v>45720</v>
      </c>
      <c r="F868" s="132"/>
      <c r="G868" s="132" t="s">
        <v>1108</v>
      </c>
      <c r="H868" s="132" t="s">
        <v>373</v>
      </c>
      <c r="I868" s="132" t="s">
        <v>1100</v>
      </c>
      <c r="J868" s="132" t="s">
        <v>3084</v>
      </c>
      <c r="K868" s="132" t="s">
        <v>3097</v>
      </c>
      <c r="L868" s="132" t="s">
        <v>3098</v>
      </c>
      <c r="M868" s="132" t="s">
        <v>3145</v>
      </c>
      <c r="N868" s="132" t="s">
        <v>1112</v>
      </c>
      <c r="O868" s="132" t="s">
        <v>3044</v>
      </c>
      <c r="P868" s="132" t="s">
        <v>3146</v>
      </c>
      <c r="Q868" s="132" t="s">
        <v>3081</v>
      </c>
      <c r="R868" s="132" t="s">
        <v>1108</v>
      </c>
    </row>
    <row r="869" spans="1:18" x14ac:dyDescent="0.2">
      <c r="A869" t="s">
        <v>312</v>
      </c>
      <c r="B869" s="141">
        <f t="shared" si="13"/>
        <v>60.15</v>
      </c>
      <c r="C869" s="280">
        <v>45719</v>
      </c>
      <c r="D869" s="279">
        <v>45719</v>
      </c>
      <c r="E869" s="279">
        <v>45720</v>
      </c>
      <c r="F869" s="132"/>
      <c r="G869" s="132" t="s">
        <v>1108</v>
      </c>
      <c r="H869" s="132" t="s">
        <v>373</v>
      </c>
      <c r="I869" s="132" t="s">
        <v>1100</v>
      </c>
      <c r="J869" s="132" t="s">
        <v>3084</v>
      </c>
      <c r="K869" s="132" t="s">
        <v>3097</v>
      </c>
      <c r="L869" s="132" t="s">
        <v>3098</v>
      </c>
      <c r="M869" s="132" t="s">
        <v>3147</v>
      </c>
      <c r="N869" s="132" t="s">
        <v>1112</v>
      </c>
      <c r="O869" s="132" t="s">
        <v>3044</v>
      </c>
      <c r="P869" s="132" t="s">
        <v>3148</v>
      </c>
      <c r="Q869" s="132" t="s">
        <v>3081</v>
      </c>
      <c r="R869" s="132" t="s">
        <v>1108</v>
      </c>
    </row>
    <row r="870" spans="1:18" x14ac:dyDescent="0.2">
      <c r="A870" t="s">
        <v>312</v>
      </c>
      <c r="B870" s="141">
        <f t="shared" si="13"/>
        <v>60.52</v>
      </c>
      <c r="C870" s="280">
        <v>45719</v>
      </c>
      <c r="D870" s="279">
        <v>45720</v>
      </c>
      <c r="E870" s="279">
        <v>45720</v>
      </c>
      <c r="F870" s="132"/>
      <c r="G870" s="132" t="s">
        <v>1275</v>
      </c>
      <c r="H870" s="132" t="s">
        <v>373</v>
      </c>
      <c r="I870" s="132" t="s">
        <v>1100</v>
      </c>
      <c r="J870" s="132" t="s">
        <v>3084</v>
      </c>
      <c r="K870" s="132" t="s">
        <v>3085</v>
      </c>
      <c r="L870" s="132" t="s">
        <v>3086</v>
      </c>
      <c r="M870" s="132" t="s">
        <v>3149</v>
      </c>
      <c r="N870" s="132" t="s">
        <v>1105</v>
      </c>
      <c r="O870" s="132" t="s">
        <v>3044</v>
      </c>
      <c r="P870" s="132" t="s">
        <v>3150</v>
      </c>
      <c r="Q870" s="132" t="s">
        <v>3081</v>
      </c>
      <c r="R870" s="132" t="s">
        <v>1108</v>
      </c>
    </row>
    <row r="871" spans="1:18" x14ac:dyDescent="0.2">
      <c r="A871" t="s">
        <v>312</v>
      </c>
      <c r="B871" s="141">
        <f t="shared" si="13"/>
        <v>60.52</v>
      </c>
      <c r="C871" s="280">
        <v>45719</v>
      </c>
      <c r="D871" s="279">
        <v>45720</v>
      </c>
      <c r="E871" s="279">
        <v>45720</v>
      </c>
      <c r="F871" s="132"/>
      <c r="G871" s="132" t="s">
        <v>1108</v>
      </c>
      <c r="H871" s="132" t="s">
        <v>373</v>
      </c>
      <c r="I871" s="132" t="s">
        <v>1100</v>
      </c>
      <c r="J871" s="132" t="s">
        <v>3084</v>
      </c>
      <c r="K871" s="132" t="s">
        <v>3085</v>
      </c>
      <c r="L871" s="132" t="s">
        <v>3086</v>
      </c>
      <c r="M871" s="132" t="s">
        <v>3151</v>
      </c>
      <c r="N871" s="132" t="s">
        <v>1117</v>
      </c>
      <c r="O871" s="132" t="s">
        <v>3044</v>
      </c>
      <c r="P871" s="132" t="s">
        <v>3152</v>
      </c>
      <c r="Q871" s="132" t="s">
        <v>3081</v>
      </c>
      <c r="R871" s="132" t="s">
        <v>1108</v>
      </c>
    </row>
    <row r="872" spans="1:18" x14ac:dyDescent="0.2">
      <c r="A872" t="s">
        <v>312</v>
      </c>
      <c r="B872" s="141">
        <f t="shared" si="13"/>
        <v>120.60000000000001</v>
      </c>
      <c r="C872" s="280">
        <v>45719</v>
      </c>
      <c r="D872" s="279">
        <v>45719</v>
      </c>
      <c r="E872" s="279">
        <v>45720</v>
      </c>
      <c r="F872" s="132"/>
      <c r="G872" s="132" t="s">
        <v>1108</v>
      </c>
      <c r="H872" s="132" t="s">
        <v>373</v>
      </c>
      <c r="I872" s="132" t="s">
        <v>1100</v>
      </c>
      <c r="J872" s="132" t="s">
        <v>3138</v>
      </c>
      <c r="K872" s="132" t="s">
        <v>3139</v>
      </c>
      <c r="L872" s="132" t="s">
        <v>3140</v>
      </c>
      <c r="M872" s="132" t="s">
        <v>3153</v>
      </c>
      <c r="N872" s="132" t="s">
        <v>1112</v>
      </c>
      <c r="O872" s="132" t="s">
        <v>3044</v>
      </c>
      <c r="P872" s="132" t="s">
        <v>3154</v>
      </c>
      <c r="Q872" s="132" t="s">
        <v>3081</v>
      </c>
      <c r="R872" s="132" t="s">
        <v>1108</v>
      </c>
    </row>
    <row r="873" spans="1:18" x14ac:dyDescent="0.2">
      <c r="A873" t="s">
        <v>312</v>
      </c>
      <c r="B873" s="141">
        <f t="shared" si="13"/>
        <v>60.15</v>
      </c>
      <c r="C873" s="280">
        <v>45719</v>
      </c>
      <c r="D873" s="279">
        <v>45719</v>
      </c>
      <c r="E873" s="279">
        <v>45720</v>
      </c>
      <c r="F873" s="132"/>
      <c r="G873" s="132" t="s">
        <v>1108</v>
      </c>
      <c r="H873" s="132" t="s">
        <v>373</v>
      </c>
      <c r="I873" s="132" t="s">
        <v>1100</v>
      </c>
      <c r="J873" s="132" t="s">
        <v>3084</v>
      </c>
      <c r="K873" s="132" t="s">
        <v>3097</v>
      </c>
      <c r="L873" s="132" t="s">
        <v>3098</v>
      </c>
      <c r="M873" s="132" t="s">
        <v>3155</v>
      </c>
      <c r="N873" s="132" t="s">
        <v>1112</v>
      </c>
      <c r="O873" s="132" t="s">
        <v>3044</v>
      </c>
      <c r="P873" s="132" t="s">
        <v>3156</v>
      </c>
      <c r="Q873" s="132" t="s">
        <v>3081</v>
      </c>
      <c r="R873" s="132" t="s">
        <v>1108</v>
      </c>
    </row>
    <row r="874" spans="1:18" x14ac:dyDescent="0.2">
      <c r="A874" t="s">
        <v>312</v>
      </c>
      <c r="B874" s="141">
        <f t="shared" si="13"/>
        <v>60.15</v>
      </c>
      <c r="C874" s="280">
        <v>45719</v>
      </c>
      <c r="D874" s="279">
        <v>45719</v>
      </c>
      <c r="E874" s="279">
        <v>45720</v>
      </c>
      <c r="F874" s="132"/>
      <c r="G874" s="132" t="s">
        <v>1108</v>
      </c>
      <c r="H874" s="132" t="s">
        <v>373</v>
      </c>
      <c r="I874" s="132" t="s">
        <v>1100</v>
      </c>
      <c r="J874" s="132" t="s">
        <v>3084</v>
      </c>
      <c r="K874" s="132" t="s">
        <v>3097</v>
      </c>
      <c r="L874" s="132" t="s">
        <v>3098</v>
      </c>
      <c r="M874" s="132" t="s">
        <v>3157</v>
      </c>
      <c r="N874" s="132" t="s">
        <v>1112</v>
      </c>
      <c r="O874" s="132" t="s">
        <v>3044</v>
      </c>
      <c r="P874" s="132" t="s">
        <v>3158</v>
      </c>
      <c r="Q874" s="132" t="s">
        <v>3081</v>
      </c>
      <c r="R874" s="132" t="s">
        <v>1108</v>
      </c>
    </row>
    <row r="875" spans="1:18" x14ac:dyDescent="0.2">
      <c r="A875" t="s">
        <v>312</v>
      </c>
      <c r="B875" s="141">
        <f t="shared" si="13"/>
        <v>60.15</v>
      </c>
      <c r="C875" s="280">
        <v>45719</v>
      </c>
      <c r="D875" s="279">
        <v>45719</v>
      </c>
      <c r="E875" s="279">
        <v>45720</v>
      </c>
      <c r="F875" s="132"/>
      <c r="G875" s="132" t="s">
        <v>1108</v>
      </c>
      <c r="H875" s="132" t="s">
        <v>373</v>
      </c>
      <c r="I875" s="132" t="s">
        <v>1100</v>
      </c>
      <c r="J875" s="132" t="s">
        <v>3084</v>
      </c>
      <c r="K875" s="132" t="s">
        <v>3097</v>
      </c>
      <c r="L875" s="132" t="s">
        <v>3098</v>
      </c>
      <c r="M875" s="132" t="s">
        <v>3159</v>
      </c>
      <c r="N875" s="132" t="s">
        <v>1112</v>
      </c>
      <c r="O875" s="132" t="s">
        <v>3044</v>
      </c>
      <c r="P875" s="132" t="s">
        <v>3160</v>
      </c>
      <c r="Q875" s="132" t="s">
        <v>3081</v>
      </c>
      <c r="R875" s="132" t="s">
        <v>1108</v>
      </c>
    </row>
    <row r="876" spans="1:18" x14ac:dyDescent="0.2">
      <c r="A876" t="s">
        <v>312</v>
      </c>
      <c r="B876" s="141">
        <f t="shared" si="13"/>
        <v>60.15</v>
      </c>
      <c r="C876" s="280">
        <v>45719</v>
      </c>
      <c r="D876" s="279">
        <v>45719</v>
      </c>
      <c r="E876" s="279">
        <v>45720</v>
      </c>
      <c r="F876" s="132"/>
      <c r="G876" s="132" t="s">
        <v>1108</v>
      </c>
      <c r="H876" s="132" t="s">
        <v>373</v>
      </c>
      <c r="I876" s="132" t="s">
        <v>1100</v>
      </c>
      <c r="J876" s="132" t="s">
        <v>3084</v>
      </c>
      <c r="K876" s="132" t="s">
        <v>3097</v>
      </c>
      <c r="L876" s="132" t="s">
        <v>3098</v>
      </c>
      <c r="M876" s="132" t="s">
        <v>3161</v>
      </c>
      <c r="N876" s="132" t="s">
        <v>1112</v>
      </c>
      <c r="O876" s="132" t="s">
        <v>3044</v>
      </c>
      <c r="P876" s="132" t="s">
        <v>3162</v>
      </c>
      <c r="Q876" s="132" t="s">
        <v>3081</v>
      </c>
      <c r="R876" s="132" t="s">
        <v>1108</v>
      </c>
    </row>
    <row r="877" spans="1:18" x14ac:dyDescent="0.2">
      <c r="A877" t="s">
        <v>312</v>
      </c>
      <c r="B877" s="141">
        <f t="shared" si="13"/>
        <v>60.52</v>
      </c>
      <c r="C877" s="280">
        <v>45719</v>
      </c>
      <c r="D877" s="279">
        <v>45720</v>
      </c>
      <c r="E877" s="279">
        <v>45720</v>
      </c>
      <c r="F877" s="132"/>
      <c r="G877" s="132" t="s">
        <v>1108</v>
      </c>
      <c r="H877" s="132" t="s">
        <v>373</v>
      </c>
      <c r="I877" s="132" t="s">
        <v>1100</v>
      </c>
      <c r="J877" s="132" t="s">
        <v>3084</v>
      </c>
      <c r="K877" s="132" t="s">
        <v>3085</v>
      </c>
      <c r="L877" s="132" t="s">
        <v>3086</v>
      </c>
      <c r="M877" s="132" t="s">
        <v>3163</v>
      </c>
      <c r="N877" s="132" t="s">
        <v>1117</v>
      </c>
      <c r="O877" s="132" t="s">
        <v>3044</v>
      </c>
      <c r="P877" s="132" t="s">
        <v>3164</v>
      </c>
      <c r="Q877" s="132" t="s">
        <v>3081</v>
      </c>
      <c r="R877" s="132" t="s">
        <v>1108</v>
      </c>
    </row>
    <row r="878" spans="1:18" x14ac:dyDescent="0.2">
      <c r="A878" t="s">
        <v>312</v>
      </c>
      <c r="B878" s="141">
        <f t="shared" si="13"/>
        <v>60.15</v>
      </c>
      <c r="C878" s="280">
        <v>45719</v>
      </c>
      <c r="D878" s="279">
        <v>45720</v>
      </c>
      <c r="E878" s="279">
        <v>45721</v>
      </c>
      <c r="F878" s="132"/>
      <c r="G878" s="132" t="s">
        <v>1108</v>
      </c>
      <c r="H878" s="132" t="s">
        <v>373</v>
      </c>
      <c r="I878" s="132" t="s">
        <v>1100</v>
      </c>
      <c r="J878" s="132" t="s">
        <v>3084</v>
      </c>
      <c r="K878" s="132" t="s">
        <v>3097</v>
      </c>
      <c r="L878" s="132" t="s">
        <v>3098</v>
      </c>
      <c r="M878" s="132" t="s">
        <v>3165</v>
      </c>
      <c r="N878" s="132" t="s">
        <v>1112</v>
      </c>
      <c r="O878" s="132" t="s">
        <v>3044</v>
      </c>
      <c r="P878" s="132" t="s">
        <v>3166</v>
      </c>
      <c r="Q878" s="132" t="s">
        <v>3167</v>
      </c>
      <c r="R878" s="132" t="s">
        <v>1108</v>
      </c>
    </row>
    <row r="879" spans="1:18" x14ac:dyDescent="0.2">
      <c r="A879" t="s">
        <v>312</v>
      </c>
      <c r="B879" s="141">
        <f t="shared" si="13"/>
        <v>60.15</v>
      </c>
      <c r="C879" s="280">
        <v>45719</v>
      </c>
      <c r="D879" s="279">
        <v>45720</v>
      </c>
      <c r="E879" s="279">
        <v>45721</v>
      </c>
      <c r="F879" s="132"/>
      <c r="G879" s="132" t="s">
        <v>1108</v>
      </c>
      <c r="H879" s="132" t="s">
        <v>373</v>
      </c>
      <c r="I879" s="132" t="s">
        <v>1100</v>
      </c>
      <c r="J879" s="132" t="s">
        <v>3084</v>
      </c>
      <c r="K879" s="132" t="s">
        <v>3097</v>
      </c>
      <c r="L879" s="132" t="s">
        <v>3098</v>
      </c>
      <c r="M879" s="132" t="s">
        <v>3168</v>
      </c>
      <c r="N879" s="132" t="s">
        <v>1112</v>
      </c>
      <c r="O879" s="132" t="s">
        <v>3044</v>
      </c>
      <c r="P879" s="132" t="s">
        <v>3169</v>
      </c>
      <c r="Q879" s="132" t="s">
        <v>3167</v>
      </c>
      <c r="R879" s="132" t="s">
        <v>1108</v>
      </c>
    </row>
    <row r="880" spans="1:18" x14ac:dyDescent="0.2">
      <c r="A880" t="s">
        <v>312</v>
      </c>
      <c r="B880" s="141">
        <f t="shared" si="13"/>
        <v>60.15</v>
      </c>
      <c r="C880" s="280">
        <v>45719</v>
      </c>
      <c r="D880" s="279">
        <v>45720</v>
      </c>
      <c r="E880" s="279">
        <v>45721</v>
      </c>
      <c r="F880" s="132"/>
      <c r="G880" s="132" t="s">
        <v>1108</v>
      </c>
      <c r="H880" s="132" t="s">
        <v>373</v>
      </c>
      <c r="I880" s="132" t="s">
        <v>1100</v>
      </c>
      <c r="J880" s="132" t="s">
        <v>3084</v>
      </c>
      <c r="K880" s="132" t="s">
        <v>3097</v>
      </c>
      <c r="L880" s="132" t="s">
        <v>3098</v>
      </c>
      <c r="M880" s="132" t="s">
        <v>3170</v>
      </c>
      <c r="N880" s="132" t="s">
        <v>1112</v>
      </c>
      <c r="O880" s="132" t="s">
        <v>3044</v>
      </c>
      <c r="P880" s="132" t="s">
        <v>3171</v>
      </c>
      <c r="Q880" s="132" t="s">
        <v>3167</v>
      </c>
      <c r="R880" s="132" t="s">
        <v>1108</v>
      </c>
    </row>
    <row r="881" spans="1:18" x14ac:dyDescent="0.2">
      <c r="A881" t="s">
        <v>312</v>
      </c>
      <c r="B881" s="141">
        <f t="shared" si="13"/>
        <v>60.15</v>
      </c>
      <c r="C881" s="280">
        <v>45719</v>
      </c>
      <c r="D881" s="279">
        <v>45720</v>
      </c>
      <c r="E881" s="279">
        <v>45721</v>
      </c>
      <c r="F881" s="132"/>
      <c r="G881" s="132" t="s">
        <v>1108</v>
      </c>
      <c r="H881" s="132" t="s">
        <v>373</v>
      </c>
      <c r="I881" s="132" t="s">
        <v>1100</v>
      </c>
      <c r="J881" s="132" t="s">
        <v>3084</v>
      </c>
      <c r="K881" s="132" t="s">
        <v>3097</v>
      </c>
      <c r="L881" s="132" t="s">
        <v>3098</v>
      </c>
      <c r="M881" s="132" t="s">
        <v>3172</v>
      </c>
      <c r="N881" s="132" t="s">
        <v>1112</v>
      </c>
      <c r="O881" s="132" t="s">
        <v>3044</v>
      </c>
      <c r="P881" s="132" t="s">
        <v>3173</v>
      </c>
      <c r="Q881" s="132" t="s">
        <v>3167</v>
      </c>
      <c r="R881" s="132" t="s">
        <v>1108</v>
      </c>
    </row>
    <row r="882" spans="1:18" x14ac:dyDescent="0.2">
      <c r="A882" t="s">
        <v>312</v>
      </c>
      <c r="B882" s="141">
        <f t="shared" si="13"/>
        <v>60.15</v>
      </c>
      <c r="C882" s="280">
        <v>45719</v>
      </c>
      <c r="D882" s="279">
        <v>45720</v>
      </c>
      <c r="E882" s="279">
        <v>45721</v>
      </c>
      <c r="F882" s="132"/>
      <c r="G882" s="132" t="s">
        <v>1108</v>
      </c>
      <c r="H882" s="132" t="s">
        <v>373</v>
      </c>
      <c r="I882" s="132" t="s">
        <v>1100</v>
      </c>
      <c r="J882" s="132" t="s">
        <v>3084</v>
      </c>
      <c r="K882" s="132" t="s">
        <v>3097</v>
      </c>
      <c r="L882" s="132" t="s">
        <v>3098</v>
      </c>
      <c r="M882" s="132" t="s">
        <v>3175</v>
      </c>
      <c r="N882" s="132" t="s">
        <v>1112</v>
      </c>
      <c r="O882" s="132" t="s">
        <v>3044</v>
      </c>
      <c r="P882" s="281" t="s">
        <v>3176</v>
      </c>
      <c r="Q882" s="132" t="s">
        <v>3167</v>
      </c>
      <c r="R882" s="132" t="s">
        <v>1108</v>
      </c>
    </row>
    <row r="883" spans="1:18" x14ac:dyDescent="0.2">
      <c r="A883" t="s">
        <v>312</v>
      </c>
      <c r="B883" s="141">
        <f t="shared" si="13"/>
        <v>60.15</v>
      </c>
      <c r="C883" s="280">
        <v>45719</v>
      </c>
      <c r="D883" s="279">
        <v>45720</v>
      </c>
      <c r="E883" s="279">
        <v>45721</v>
      </c>
      <c r="F883" s="132"/>
      <c r="G883" s="132" t="s">
        <v>1108</v>
      </c>
      <c r="H883" s="132" t="s">
        <v>373</v>
      </c>
      <c r="I883" s="132" t="s">
        <v>1100</v>
      </c>
      <c r="J883" s="132" t="s">
        <v>3084</v>
      </c>
      <c r="K883" s="132" t="s">
        <v>3097</v>
      </c>
      <c r="L883" s="132" t="s">
        <v>3098</v>
      </c>
      <c r="M883" s="132" t="s">
        <v>3177</v>
      </c>
      <c r="N883" s="132" t="s">
        <v>1112</v>
      </c>
      <c r="O883" s="132" t="s">
        <v>3044</v>
      </c>
      <c r="P883" s="132" t="s">
        <v>3178</v>
      </c>
      <c r="Q883" s="132" t="s">
        <v>3167</v>
      </c>
      <c r="R883" s="132" t="s">
        <v>1108</v>
      </c>
    </row>
    <row r="884" spans="1:18" x14ac:dyDescent="0.2">
      <c r="A884" t="s">
        <v>312</v>
      </c>
      <c r="B884" s="141">
        <f t="shared" si="13"/>
        <v>60.15</v>
      </c>
      <c r="C884" s="280">
        <v>45719</v>
      </c>
      <c r="D884" s="279">
        <v>45720</v>
      </c>
      <c r="E884" s="279">
        <v>45721</v>
      </c>
      <c r="F884" s="132"/>
      <c r="G884" s="132" t="s">
        <v>1108</v>
      </c>
      <c r="H884" s="132" t="s">
        <v>373</v>
      </c>
      <c r="I884" s="132" t="s">
        <v>1100</v>
      </c>
      <c r="J884" s="132" t="s">
        <v>3084</v>
      </c>
      <c r="K884" s="132" t="s">
        <v>3097</v>
      </c>
      <c r="L884" s="132" t="s">
        <v>3098</v>
      </c>
      <c r="M884" s="132" t="s">
        <v>3179</v>
      </c>
      <c r="N884" s="132" t="s">
        <v>1112</v>
      </c>
      <c r="O884" s="132" t="s">
        <v>3044</v>
      </c>
      <c r="P884" s="132" t="s">
        <v>3180</v>
      </c>
      <c r="Q884" s="132" t="s">
        <v>3167</v>
      </c>
      <c r="R884" s="132" t="s">
        <v>1108</v>
      </c>
    </row>
    <row r="885" spans="1:18" x14ac:dyDescent="0.2">
      <c r="A885" t="s">
        <v>312</v>
      </c>
      <c r="B885" s="141">
        <f t="shared" si="13"/>
        <v>60.15</v>
      </c>
      <c r="C885" s="280">
        <v>45719</v>
      </c>
      <c r="D885" s="279">
        <v>45720</v>
      </c>
      <c r="E885" s="279">
        <v>45721</v>
      </c>
      <c r="F885" s="132"/>
      <c r="G885" s="132" t="s">
        <v>1108</v>
      </c>
      <c r="H885" s="132" t="s">
        <v>373</v>
      </c>
      <c r="I885" s="132" t="s">
        <v>1100</v>
      </c>
      <c r="J885" s="132" t="s">
        <v>3084</v>
      </c>
      <c r="K885" s="132" t="s">
        <v>3097</v>
      </c>
      <c r="L885" s="132" t="s">
        <v>3098</v>
      </c>
      <c r="M885" s="132" t="s">
        <v>3181</v>
      </c>
      <c r="N885" s="132" t="s">
        <v>1112</v>
      </c>
      <c r="O885" s="132" t="s">
        <v>3044</v>
      </c>
      <c r="P885" s="132" t="s">
        <v>3182</v>
      </c>
      <c r="Q885" s="132" t="s">
        <v>3167</v>
      </c>
      <c r="R885" s="132" t="s">
        <v>1108</v>
      </c>
    </row>
    <row r="886" spans="1:18" x14ac:dyDescent="0.2">
      <c r="A886" t="s">
        <v>312</v>
      </c>
      <c r="B886" s="141">
        <f t="shared" si="13"/>
        <v>60.52</v>
      </c>
      <c r="C886" s="280">
        <v>45719</v>
      </c>
      <c r="D886" s="279">
        <v>45720</v>
      </c>
      <c r="E886" s="279">
        <v>45721</v>
      </c>
      <c r="F886" s="132"/>
      <c r="G886" s="132" t="s">
        <v>1108</v>
      </c>
      <c r="H886" s="132" t="s">
        <v>373</v>
      </c>
      <c r="I886" s="132" t="s">
        <v>1100</v>
      </c>
      <c r="J886" s="132" t="s">
        <v>3084</v>
      </c>
      <c r="K886" s="132" t="s">
        <v>3085</v>
      </c>
      <c r="L886" s="132" t="s">
        <v>3086</v>
      </c>
      <c r="M886" s="132" t="s">
        <v>3183</v>
      </c>
      <c r="N886" s="132" t="s">
        <v>1117</v>
      </c>
      <c r="O886" s="132" t="s">
        <v>3044</v>
      </c>
      <c r="P886" s="132" t="s">
        <v>3184</v>
      </c>
      <c r="Q886" s="132" t="s">
        <v>3167</v>
      </c>
      <c r="R886" s="132" t="s">
        <v>1108</v>
      </c>
    </row>
    <row r="887" spans="1:18" x14ac:dyDescent="0.2">
      <c r="A887" t="s">
        <v>312</v>
      </c>
      <c r="B887" s="141">
        <f t="shared" ref="B887:B950" si="14">_xlfn.NUMBERVALUE(L887)*0.01</f>
        <v>60.15</v>
      </c>
      <c r="C887" s="280">
        <v>45719</v>
      </c>
      <c r="D887" s="279">
        <v>45720</v>
      </c>
      <c r="E887" s="279">
        <v>45721</v>
      </c>
      <c r="F887" s="132"/>
      <c r="G887" s="132" t="s">
        <v>1108</v>
      </c>
      <c r="H887" s="132" t="s">
        <v>373</v>
      </c>
      <c r="I887" s="132" t="s">
        <v>1100</v>
      </c>
      <c r="J887" s="132" t="s">
        <v>3084</v>
      </c>
      <c r="K887" s="132" t="s">
        <v>3097</v>
      </c>
      <c r="L887" s="132" t="s">
        <v>3098</v>
      </c>
      <c r="M887" s="132" t="s">
        <v>3185</v>
      </c>
      <c r="N887" s="132" t="s">
        <v>1112</v>
      </c>
      <c r="O887" s="132" t="s">
        <v>3044</v>
      </c>
      <c r="P887" s="281" t="s">
        <v>3186</v>
      </c>
      <c r="Q887" s="132" t="s">
        <v>3167</v>
      </c>
      <c r="R887" s="132" t="s">
        <v>1108</v>
      </c>
    </row>
    <row r="888" spans="1:18" x14ac:dyDescent="0.2">
      <c r="A888" t="s">
        <v>312</v>
      </c>
      <c r="B888" s="141">
        <f t="shared" si="14"/>
        <v>60.15</v>
      </c>
      <c r="C888" s="280">
        <v>45719</v>
      </c>
      <c r="D888" s="279">
        <v>45720</v>
      </c>
      <c r="E888" s="279">
        <v>45721</v>
      </c>
      <c r="F888" s="132"/>
      <c r="G888" s="132" t="s">
        <v>1108</v>
      </c>
      <c r="H888" s="132" t="s">
        <v>373</v>
      </c>
      <c r="I888" s="132" t="s">
        <v>1100</v>
      </c>
      <c r="J888" s="132" t="s">
        <v>3084</v>
      </c>
      <c r="K888" s="132" t="s">
        <v>3097</v>
      </c>
      <c r="L888" s="132" t="s">
        <v>3098</v>
      </c>
      <c r="M888" s="132" t="s">
        <v>3187</v>
      </c>
      <c r="N888" s="132" t="s">
        <v>1112</v>
      </c>
      <c r="O888" s="132" t="s">
        <v>3044</v>
      </c>
      <c r="P888" s="132" t="s">
        <v>3188</v>
      </c>
      <c r="Q888" s="132" t="s">
        <v>3167</v>
      </c>
      <c r="R888" s="132" t="s">
        <v>1108</v>
      </c>
    </row>
    <row r="889" spans="1:18" x14ac:dyDescent="0.2">
      <c r="A889" t="s">
        <v>312</v>
      </c>
      <c r="B889" s="141">
        <f t="shared" si="14"/>
        <v>60.15</v>
      </c>
      <c r="C889" s="280">
        <v>45719</v>
      </c>
      <c r="D889" s="279">
        <v>45720</v>
      </c>
      <c r="E889" s="279">
        <v>45721</v>
      </c>
      <c r="F889" s="132"/>
      <c r="G889" s="132" t="s">
        <v>1108</v>
      </c>
      <c r="H889" s="132" t="s">
        <v>373</v>
      </c>
      <c r="I889" s="132" t="s">
        <v>1100</v>
      </c>
      <c r="J889" s="132" t="s">
        <v>3084</v>
      </c>
      <c r="K889" s="132" t="s">
        <v>3097</v>
      </c>
      <c r="L889" s="132" t="s">
        <v>3098</v>
      </c>
      <c r="M889" s="132" t="s">
        <v>3189</v>
      </c>
      <c r="N889" s="132" t="s">
        <v>1112</v>
      </c>
      <c r="O889" s="132" t="s">
        <v>3044</v>
      </c>
      <c r="P889" s="132" t="s">
        <v>3190</v>
      </c>
      <c r="Q889" s="132" t="s">
        <v>3167</v>
      </c>
      <c r="R889" s="132" t="s">
        <v>1108</v>
      </c>
    </row>
    <row r="890" spans="1:18" x14ac:dyDescent="0.2">
      <c r="A890" t="s">
        <v>312</v>
      </c>
      <c r="B890" s="141">
        <f t="shared" si="14"/>
        <v>60.15</v>
      </c>
      <c r="C890" s="280">
        <v>45719</v>
      </c>
      <c r="D890" s="279">
        <v>45720</v>
      </c>
      <c r="E890" s="279">
        <v>45721</v>
      </c>
      <c r="F890" s="132"/>
      <c r="G890" s="132" t="s">
        <v>1108</v>
      </c>
      <c r="H890" s="132" t="s">
        <v>373</v>
      </c>
      <c r="I890" s="132" t="s">
        <v>1100</v>
      </c>
      <c r="J890" s="132" t="s">
        <v>3084</v>
      </c>
      <c r="K890" s="132" t="s">
        <v>3097</v>
      </c>
      <c r="L890" s="132" t="s">
        <v>3098</v>
      </c>
      <c r="M890" s="132" t="s">
        <v>3191</v>
      </c>
      <c r="N890" s="132" t="s">
        <v>1112</v>
      </c>
      <c r="O890" s="132" t="s">
        <v>3044</v>
      </c>
      <c r="P890" s="132" t="s">
        <v>3192</v>
      </c>
      <c r="Q890" s="132" t="s">
        <v>3167</v>
      </c>
      <c r="R890" s="132" t="s">
        <v>1108</v>
      </c>
    </row>
    <row r="891" spans="1:18" x14ac:dyDescent="0.2">
      <c r="A891" t="s">
        <v>312</v>
      </c>
      <c r="B891" s="141">
        <f t="shared" si="14"/>
        <v>60.15</v>
      </c>
      <c r="C891" s="280">
        <v>45719</v>
      </c>
      <c r="D891" s="279">
        <v>45720</v>
      </c>
      <c r="E891" s="279">
        <v>45721</v>
      </c>
      <c r="F891" s="132"/>
      <c r="G891" s="132" t="s">
        <v>1108</v>
      </c>
      <c r="H891" s="132" t="s">
        <v>373</v>
      </c>
      <c r="I891" s="132" t="s">
        <v>1100</v>
      </c>
      <c r="J891" s="132" t="s">
        <v>3084</v>
      </c>
      <c r="K891" s="132" t="s">
        <v>3097</v>
      </c>
      <c r="L891" s="132" t="s">
        <v>3098</v>
      </c>
      <c r="M891" s="132" t="s">
        <v>3193</v>
      </c>
      <c r="N891" s="132" t="s">
        <v>1112</v>
      </c>
      <c r="O891" s="132" t="s">
        <v>3044</v>
      </c>
      <c r="P891" s="132" t="s">
        <v>3194</v>
      </c>
      <c r="Q891" s="132" t="s">
        <v>3167</v>
      </c>
      <c r="R891" s="132" t="s">
        <v>1108</v>
      </c>
    </row>
    <row r="892" spans="1:18" x14ac:dyDescent="0.2">
      <c r="A892" t="s">
        <v>312</v>
      </c>
      <c r="B892" s="141">
        <f t="shared" si="14"/>
        <v>60.15</v>
      </c>
      <c r="C892" s="280">
        <v>45719</v>
      </c>
      <c r="D892" s="279">
        <v>45720</v>
      </c>
      <c r="E892" s="279">
        <v>45721</v>
      </c>
      <c r="F892" s="132"/>
      <c r="G892" s="132" t="s">
        <v>1108</v>
      </c>
      <c r="H892" s="132" t="s">
        <v>373</v>
      </c>
      <c r="I892" s="132" t="s">
        <v>1100</v>
      </c>
      <c r="J892" s="132" t="s">
        <v>3084</v>
      </c>
      <c r="K892" s="132" t="s">
        <v>3097</v>
      </c>
      <c r="L892" s="132" t="s">
        <v>3098</v>
      </c>
      <c r="M892" s="132" t="s">
        <v>3195</v>
      </c>
      <c r="N892" s="132" t="s">
        <v>1112</v>
      </c>
      <c r="O892" s="132" t="s">
        <v>3044</v>
      </c>
      <c r="P892" s="132" t="s">
        <v>3196</v>
      </c>
      <c r="Q892" s="132" t="s">
        <v>3167</v>
      </c>
      <c r="R892" s="132" t="s">
        <v>1108</v>
      </c>
    </row>
    <row r="893" spans="1:18" x14ac:dyDescent="0.2">
      <c r="A893" t="s">
        <v>312</v>
      </c>
      <c r="B893" s="141">
        <f t="shared" si="14"/>
        <v>60.15</v>
      </c>
      <c r="C893" s="280">
        <v>45719</v>
      </c>
      <c r="D893" s="279">
        <v>45720</v>
      </c>
      <c r="E893" s="279">
        <v>45721</v>
      </c>
      <c r="F893" s="132"/>
      <c r="G893" s="132" t="s">
        <v>1108</v>
      </c>
      <c r="H893" s="132" t="s">
        <v>373</v>
      </c>
      <c r="I893" s="132" t="s">
        <v>1100</v>
      </c>
      <c r="J893" s="132" t="s">
        <v>3084</v>
      </c>
      <c r="K893" s="132" t="s">
        <v>3097</v>
      </c>
      <c r="L893" s="132" t="s">
        <v>3098</v>
      </c>
      <c r="M893" s="132" t="s">
        <v>3197</v>
      </c>
      <c r="N893" s="132" t="s">
        <v>1112</v>
      </c>
      <c r="O893" s="132" t="s">
        <v>3044</v>
      </c>
      <c r="P893" s="132" t="s">
        <v>3198</v>
      </c>
      <c r="Q893" s="132" t="s">
        <v>3167</v>
      </c>
      <c r="R893" s="132" t="s">
        <v>1108</v>
      </c>
    </row>
    <row r="894" spans="1:18" x14ac:dyDescent="0.2">
      <c r="A894" t="s">
        <v>312</v>
      </c>
      <c r="B894" s="141">
        <f t="shared" si="14"/>
        <v>60.52</v>
      </c>
      <c r="C894" s="280">
        <v>45719</v>
      </c>
      <c r="D894" s="279">
        <v>45720</v>
      </c>
      <c r="E894" s="279">
        <v>45721</v>
      </c>
      <c r="F894" s="132"/>
      <c r="G894" s="132" t="s">
        <v>1704</v>
      </c>
      <c r="H894" s="132" t="s">
        <v>373</v>
      </c>
      <c r="I894" s="132" t="s">
        <v>1100</v>
      </c>
      <c r="J894" s="132" t="s">
        <v>3084</v>
      </c>
      <c r="K894" s="132" t="s">
        <v>3085</v>
      </c>
      <c r="L894" s="132" t="s">
        <v>3086</v>
      </c>
      <c r="M894" s="132" t="s">
        <v>3199</v>
      </c>
      <c r="N894" s="132" t="s">
        <v>1105</v>
      </c>
      <c r="O894" s="132" t="s">
        <v>3044</v>
      </c>
      <c r="P894" s="132" t="s">
        <v>3200</v>
      </c>
      <c r="Q894" s="132" t="s">
        <v>3167</v>
      </c>
      <c r="R894" s="132" t="s">
        <v>1108</v>
      </c>
    </row>
    <row r="895" spans="1:18" x14ac:dyDescent="0.2">
      <c r="A895" t="s">
        <v>312</v>
      </c>
      <c r="B895" s="141">
        <f t="shared" si="14"/>
        <v>60.15</v>
      </c>
      <c r="C895" s="280">
        <v>45719</v>
      </c>
      <c r="D895" s="279">
        <v>45720</v>
      </c>
      <c r="E895" s="279">
        <v>45721</v>
      </c>
      <c r="F895" s="132"/>
      <c r="G895" s="132" t="s">
        <v>1108</v>
      </c>
      <c r="H895" s="132" t="s">
        <v>373</v>
      </c>
      <c r="I895" s="132" t="s">
        <v>1100</v>
      </c>
      <c r="J895" s="132" t="s">
        <v>3084</v>
      </c>
      <c r="K895" s="132" t="s">
        <v>3097</v>
      </c>
      <c r="L895" s="132" t="s">
        <v>3098</v>
      </c>
      <c r="M895" s="132" t="s">
        <v>3201</v>
      </c>
      <c r="N895" s="132" t="s">
        <v>1112</v>
      </c>
      <c r="O895" s="132" t="s">
        <v>3044</v>
      </c>
      <c r="P895" s="132" t="s">
        <v>3202</v>
      </c>
      <c r="Q895" s="132" t="s">
        <v>3167</v>
      </c>
      <c r="R895" s="132" t="s">
        <v>1108</v>
      </c>
    </row>
    <row r="896" spans="1:18" x14ac:dyDescent="0.2">
      <c r="A896" t="s">
        <v>312</v>
      </c>
      <c r="B896" s="141">
        <f t="shared" si="14"/>
        <v>60.15</v>
      </c>
      <c r="C896" s="280">
        <v>45719</v>
      </c>
      <c r="D896" s="279">
        <v>45720</v>
      </c>
      <c r="E896" s="279">
        <v>45721</v>
      </c>
      <c r="F896" s="132"/>
      <c r="G896" s="132" t="s">
        <v>1108</v>
      </c>
      <c r="H896" s="132" t="s">
        <v>373</v>
      </c>
      <c r="I896" s="132" t="s">
        <v>1100</v>
      </c>
      <c r="J896" s="132" t="s">
        <v>3084</v>
      </c>
      <c r="K896" s="132" t="s">
        <v>3097</v>
      </c>
      <c r="L896" s="132" t="s">
        <v>3098</v>
      </c>
      <c r="M896" s="132" t="s">
        <v>3203</v>
      </c>
      <c r="N896" s="132" t="s">
        <v>1112</v>
      </c>
      <c r="O896" s="132" t="s">
        <v>3044</v>
      </c>
      <c r="P896" s="132" t="s">
        <v>3204</v>
      </c>
      <c r="Q896" s="132" t="s">
        <v>3167</v>
      </c>
      <c r="R896" s="132" t="s">
        <v>1108</v>
      </c>
    </row>
    <row r="897" spans="1:18" x14ac:dyDescent="0.2">
      <c r="A897" t="s">
        <v>312</v>
      </c>
      <c r="B897" s="141">
        <f t="shared" si="14"/>
        <v>60.52</v>
      </c>
      <c r="C897" s="280">
        <v>45719</v>
      </c>
      <c r="D897" s="279">
        <v>45720</v>
      </c>
      <c r="E897" s="279">
        <v>45721</v>
      </c>
      <c r="F897" s="132"/>
      <c r="G897" s="132" t="s">
        <v>1819</v>
      </c>
      <c r="H897" s="132" t="s">
        <v>373</v>
      </c>
      <c r="I897" s="132" t="s">
        <v>1100</v>
      </c>
      <c r="J897" s="132" t="s">
        <v>3084</v>
      </c>
      <c r="K897" s="132" t="s">
        <v>3085</v>
      </c>
      <c r="L897" s="132" t="s">
        <v>3086</v>
      </c>
      <c r="M897" s="132" t="s">
        <v>3205</v>
      </c>
      <c r="N897" s="132" t="s">
        <v>1105</v>
      </c>
      <c r="O897" s="132" t="s">
        <v>3044</v>
      </c>
      <c r="P897" s="132" t="s">
        <v>3206</v>
      </c>
      <c r="Q897" s="132" t="s">
        <v>3167</v>
      </c>
      <c r="R897" s="132" t="s">
        <v>1108</v>
      </c>
    </row>
    <row r="898" spans="1:18" x14ac:dyDescent="0.2">
      <c r="A898" t="s">
        <v>312</v>
      </c>
      <c r="B898" s="141">
        <f t="shared" si="14"/>
        <v>60.52</v>
      </c>
      <c r="C898" s="280">
        <v>45719</v>
      </c>
      <c r="D898" s="279">
        <v>45720</v>
      </c>
      <c r="E898" s="279">
        <v>45721</v>
      </c>
      <c r="F898" s="132"/>
      <c r="G898" s="132" t="s">
        <v>1121</v>
      </c>
      <c r="H898" s="132" t="s">
        <v>373</v>
      </c>
      <c r="I898" s="132" t="s">
        <v>1100</v>
      </c>
      <c r="J898" s="132" t="s">
        <v>3084</v>
      </c>
      <c r="K898" s="132" t="s">
        <v>3085</v>
      </c>
      <c r="L898" s="132" t="s">
        <v>3086</v>
      </c>
      <c r="M898" s="132" t="s">
        <v>3207</v>
      </c>
      <c r="N898" s="132" t="s">
        <v>1105</v>
      </c>
      <c r="O898" s="132" t="s">
        <v>3044</v>
      </c>
      <c r="P898" s="132" t="s">
        <v>3208</v>
      </c>
      <c r="Q898" s="132" t="s">
        <v>3167</v>
      </c>
      <c r="R898" s="132" t="s">
        <v>1108</v>
      </c>
    </row>
    <row r="899" spans="1:18" x14ac:dyDescent="0.2">
      <c r="A899" t="s">
        <v>312</v>
      </c>
      <c r="B899" s="141">
        <f t="shared" si="14"/>
        <v>60.15</v>
      </c>
      <c r="C899" s="280">
        <v>45719</v>
      </c>
      <c r="D899" s="279">
        <v>45720</v>
      </c>
      <c r="E899" s="279">
        <v>45721</v>
      </c>
      <c r="F899" s="132"/>
      <c r="G899" s="132" t="s">
        <v>1108</v>
      </c>
      <c r="H899" s="132" t="s">
        <v>373</v>
      </c>
      <c r="I899" s="132" t="s">
        <v>1100</v>
      </c>
      <c r="J899" s="132" t="s">
        <v>3084</v>
      </c>
      <c r="K899" s="132" t="s">
        <v>3097</v>
      </c>
      <c r="L899" s="132" t="s">
        <v>3098</v>
      </c>
      <c r="M899" s="132" t="s">
        <v>3209</v>
      </c>
      <c r="N899" s="132" t="s">
        <v>1112</v>
      </c>
      <c r="O899" s="132" t="s">
        <v>3044</v>
      </c>
      <c r="P899" s="132" t="s">
        <v>3210</v>
      </c>
      <c r="Q899" s="132" t="s">
        <v>3167</v>
      </c>
      <c r="R899" s="132" t="s">
        <v>1108</v>
      </c>
    </row>
    <row r="900" spans="1:18" x14ac:dyDescent="0.2">
      <c r="A900" t="s">
        <v>312</v>
      </c>
      <c r="B900" s="141">
        <f t="shared" si="14"/>
        <v>60.52</v>
      </c>
      <c r="C900" s="280">
        <v>45719</v>
      </c>
      <c r="D900" s="279">
        <v>45720</v>
      </c>
      <c r="E900" s="279">
        <v>45721</v>
      </c>
      <c r="F900" s="132"/>
      <c r="G900" s="132" t="s">
        <v>3211</v>
      </c>
      <c r="H900" s="132" t="s">
        <v>373</v>
      </c>
      <c r="I900" s="132" t="s">
        <v>1100</v>
      </c>
      <c r="J900" s="132" t="s">
        <v>3084</v>
      </c>
      <c r="K900" s="132" t="s">
        <v>3085</v>
      </c>
      <c r="L900" s="132" t="s">
        <v>3086</v>
      </c>
      <c r="M900" s="132" t="s">
        <v>3212</v>
      </c>
      <c r="N900" s="132" t="s">
        <v>1105</v>
      </c>
      <c r="O900" s="132" t="s">
        <v>3044</v>
      </c>
      <c r="P900" s="132" t="s">
        <v>3213</v>
      </c>
      <c r="Q900" s="132" t="s">
        <v>3167</v>
      </c>
      <c r="R900" s="132" t="s">
        <v>1108</v>
      </c>
    </row>
    <row r="901" spans="1:18" x14ac:dyDescent="0.2">
      <c r="A901" t="s">
        <v>312</v>
      </c>
      <c r="B901" s="141">
        <f t="shared" si="14"/>
        <v>60.15</v>
      </c>
      <c r="C901" s="280">
        <v>45719</v>
      </c>
      <c r="D901" s="279">
        <v>45720</v>
      </c>
      <c r="E901" s="279">
        <v>45721</v>
      </c>
      <c r="F901" s="132"/>
      <c r="G901" s="132" t="s">
        <v>1108</v>
      </c>
      <c r="H901" s="132" t="s">
        <v>373</v>
      </c>
      <c r="I901" s="132" t="s">
        <v>1100</v>
      </c>
      <c r="J901" s="132" t="s">
        <v>3084</v>
      </c>
      <c r="K901" s="132" t="s">
        <v>3097</v>
      </c>
      <c r="L901" s="132" t="s">
        <v>3098</v>
      </c>
      <c r="M901" s="132" t="s">
        <v>3214</v>
      </c>
      <c r="N901" s="132" t="s">
        <v>1112</v>
      </c>
      <c r="O901" s="132" t="s">
        <v>3044</v>
      </c>
      <c r="P901" s="132" t="s">
        <v>3215</v>
      </c>
      <c r="Q901" s="132" t="s">
        <v>3167</v>
      </c>
      <c r="R901" s="132" t="s">
        <v>1108</v>
      </c>
    </row>
    <row r="902" spans="1:18" x14ac:dyDescent="0.2">
      <c r="A902" t="s">
        <v>312</v>
      </c>
      <c r="B902" s="141">
        <f t="shared" si="14"/>
        <v>60.52</v>
      </c>
      <c r="C902" s="280">
        <v>45719</v>
      </c>
      <c r="D902" s="279">
        <v>45720</v>
      </c>
      <c r="E902" s="279">
        <v>45721</v>
      </c>
      <c r="F902" s="132"/>
      <c r="G902" s="132" t="s">
        <v>1352</v>
      </c>
      <c r="H902" s="132" t="s">
        <v>373</v>
      </c>
      <c r="I902" s="132" t="s">
        <v>1100</v>
      </c>
      <c r="J902" s="132" t="s">
        <v>3084</v>
      </c>
      <c r="K902" s="132" t="s">
        <v>3085</v>
      </c>
      <c r="L902" s="132" t="s">
        <v>3086</v>
      </c>
      <c r="M902" s="132" t="s">
        <v>3216</v>
      </c>
      <c r="N902" s="132" t="s">
        <v>1105</v>
      </c>
      <c r="O902" s="132" t="s">
        <v>3044</v>
      </c>
      <c r="P902" s="132" t="s">
        <v>3217</v>
      </c>
      <c r="Q902" s="132" t="s">
        <v>3167</v>
      </c>
      <c r="R902" s="132" t="s">
        <v>1108</v>
      </c>
    </row>
    <row r="903" spans="1:18" x14ac:dyDescent="0.2">
      <c r="A903" t="s">
        <v>312</v>
      </c>
      <c r="B903" s="141">
        <f t="shared" si="14"/>
        <v>60.52</v>
      </c>
      <c r="C903" s="280">
        <v>45719</v>
      </c>
      <c r="D903" s="279">
        <v>45720</v>
      </c>
      <c r="E903" s="279">
        <v>45721</v>
      </c>
      <c r="F903" s="132"/>
      <c r="G903" s="132" t="s">
        <v>1473</v>
      </c>
      <c r="H903" s="132" t="s">
        <v>373</v>
      </c>
      <c r="I903" s="132" t="s">
        <v>1100</v>
      </c>
      <c r="J903" s="132" t="s">
        <v>3084</v>
      </c>
      <c r="K903" s="132" t="s">
        <v>3085</v>
      </c>
      <c r="L903" s="132" t="s">
        <v>3086</v>
      </c>
      <c r="M903" s="132" t="s">
        <v>3218</v>
      </c>
      <c r="N903" s="132" t="s">
        <v>1105</v>
      </c>
      <c r="O903" s="132" t="s">
        <v>3044</v>
      </c>
      <c r="P903" s="132" t="s">
        <v>3219</v>
      </c>
      <c r="Q903" s="132" t="s">
        <v>3167</v>
      </c>
      <c r="R903" s="132" t="s">
        <v>1108</v>
      </c>
    </row>
    <row r="904" spans="1:18" x14ac:dyDescent="0.2">
      <c r="A904" t="s">
        <v>312</v>
      </c>
      <c r="B904" s="141">
        <f t="shared" si="14"/>
        <v>60.52</v>
      </c>
      <c r="C904" s="280">
        <v>45719</v>
      </c>
      <c r="D904" s="279">
        <v>45720</v>
      </c>
      <c r="E904" s="279">
        <v>45721</v>
      </c>
      <c r="F904" s="132"/>
      <c r="G904" s="132" t="s">
        <v>1108</v>
      </c>
      <c r="H904" s="132" t="s">
        <v>373</v>
      </c>
      <c r="I904" s="132" t="s">
        <v>1100</v>
      </c>
      <c r="J904" s="132" t="s">
        <v>3084</v>
      </c>
      <c r="K904" s="132" t="s">
        <v>3085</v>
      </c>
      <c r="L904" s="132" t="s">
        <v>3086</v>
      </c>
      <c r="M904" s="281" t="s">
        <v>3220</v>
      </c>
      <c r="N904" s="132" t="s">
        <v>1117</v>
      </c>
      <c r="O904" s="132" t="s">
        <v>3044</v>
      </c>
      <c r="P904" s="132" t="s">
        <v>3221</v>
      </c>
      <c r="Q904" s="132" t="s">
        <v>3167</v>
      </c>
      <c r="R904" s="132" t="s">
        <v>1108</v>
      </c>
    </row>
    <row r="905" spans="1:18" x14ac:dyDescent="0.2">
      <c r="A905" t="s">
        <v>312</v>
      </c>
      <c r="B905" s="141">
        <f t="shared" si="14"/>
        <v>60.52</v>
      </c>
      <c r="C905" s="280">
        <v>45719</v>
      </c>
      <c r="D905" s="279">
        <v>45720</v>
      </c>
      <c r="E905" s="279">
        <v>45721</v>
      </c>
      <c r="F905" s="132"/>
      <c r="G905" s="132" t="s">
        <v>3222</v>
      </c>
      <c r="H905" s="132" t="s">
        <v>373</v>
      </c>
      <c r="I905" s="132" t="s">
        <v>1100</v>
      </c>
      <c r="J905" s="132" t="s">
        <v>3084</v>
      </c>
      <c r="K905" s="132" t="s">
        <v>3085</v>
      </c>
      <c r="L905" s="132" t="s">
        <v>3086</v>
      </c>
      <c r="M905" s="132" t="s">
        <v>3223</v>
      </c>
      <c r="N905" s="132" t="s">
        <v>1105</v>
      </c>
      <c r="O905" s="132" t="s">
        <v>3044</v>
      </c>
      <c r="P905" s="132" t="s">
        <v>3224</v>
      </c>
      <c r="Q905" s="132" t="s">
        <v>3167</v>
      </c>
      <c r="R905" s="132" t="s">
        <v>1108</v>
      </c>
    </row>
    <row r="906" spans="1:18" x14ac:dyDescent="0.2">
      <c r="A906" t="s">
        <v>312</v>
      </c>
      <c r="B906" s="141">
        <f t="shared" si="14"/>
        <v>60.52</v>
      </c>
      <c r="C906" s="280">
        <v>45719</v>
      </c>
      <c r="D906" s="279">
        <v>45720</v>
      </c>
      <c r="E906" s="279">
        <v>45721</v>
      </c>
      <c r="F906" s="132"/>
      <c r="G906" s="132" t="s">
        <v>3225</v>
      </c>
      <c r="H906" s="132" t="s">
        <v>373</v>
      </c>
      <c r="I906" s="132" t="s">
        <v>1100</v>
      </c>
      <c r="J906" s="132" t="s">
        <v>3084</v>
      </c>
      <c r="K906" s="132" t="s">
        <v>3085</v>
      </c>
      <c r="L906" s="132" t="s">
        <v>3086</v>
      </c>
      <c r="M906" s="132" t="s">
        <v>3226</v>
      </c>
      <c r="N906" s="132" t="s">
        <v>1105</v>
      </c>
      <c r="O906" s="132" t="s">
        <v>3044</v>
      </c>
      <c r="P906" s="132" t="s">
        <v>3227</v>
      </c>
      <c r="Q906" s="132" t="s">
        <v>3167</v>
      </c>
      <c r="R906" s="132" t="s">
        <v>1108</v>
      </c>
    </row>
    <row r="907" spans="1:18" x14ac:dyDescent="0.2">
      <c r="A907" t="s">
        <v>312</v>
      </c>
      <c r="B907" s="141">
        <f t="shared" si="14"/>
        <v>60.15</v>
      </c>
      <c r="C907" s="280">
        <v>45719</v>
      </c>
      <c r="D907" s="279">
        <v>45720</v>
      </c>
      <c r="E907" s="279">
        <v>45721</v>
      </c>
      <c r="F907" s="132"/>
      <c r="G907" s="132" t="s">
        <v>1108</v>
      </c>
      <c r="H907" s="132" t="s">
        <v>373</v>
      </c>
      <c r="I907" s="132" t="s">
        <v>1100</v>
      </c>
      <c r="J907" s="132" t="s">
        <v>3084</v>
      </c>
      <c r="K907" s="132" t="s">
        <v>3097</v>
      </c>
      <c r="L907" s="132" t="s">
        <v>3098</v>
      </c>
      <c r="M907" s="132" t="s">
        <v>3228</v>
      </c>
      <c r="N907" s="132" t="s">
        <v>1112</v>
      </c>
      <c r="O907" s="132" t="s">
        <v>3044</v>
      </c>
      <c r="P907" s="132" t="s">
        <v>3229</v>
      </c>
      <c r="Q907" s="132" t="s">
        <v>3167</v>
      </c>
      <c r="R907" s="132" t="s">
        <v>1108</v>
      </c>
    </row>
    <row r="908" spans="1:18" x14ac:dyDescent="0.2">
      <c r="A908" t="s">
        <v>312</v>
      </c>
      <c r="B908" s="141">
        <f t="shared" si="14"/>
        <v>60.52</v>
      </c>
      <c r="C908" s="280">
        <v>45719</v>
      </c>
      <c r="D908" s="279">
        <v>45720</v>
      </c>
      <c r="E908" s="279">
        <v>45721</v>
      </c>
      <c r="F908" s="132"/>
      <c r="G908" s="132" t="s">
        <v>1108</v>
      </c>
      <c r="H908" s="132" t="s">
        <v>373</v>
      </c>
      <c r="I908" s="132" t="s">
        <v>1100</v>
      </c>
      <c r="J908" s="132" t="s">
        <v>3084</v>
      </c>
      <c r="K908" s="132" t="s">
        <v>3085</v>
      </c>
      <c r="L908" s="132" t="s">
        <v>3086</v>
      </c>
      <c r="M908" s="132" t="s">
        <v>3230</v>
      </c>
      <c r="N908" s="132" t="s">
        <v>1117</v>
      </c>
      <c r="O908" s="132" t="s">
        <v>3044</v>
      </c>
      <c r="P908" s="132" t="s">
        <v>3231</v>
      </c>
      <c r="Q908" s="132" t="s">
        <v>3167</v>
      </c>
      <c r="R908" s="132" t="s">
        <v>1108</v>
      </c>
    </row>
    <row r="909" spans="1:18" x14ac:dyDescent="0.2">
      <c r="A909" t="s">
        <v>312</v>
      </c>
      <c r="B909" s="141">
        <f t="shared" si="14"/>
        <v>60.52</v>
      </c>
      <c r="C909" s="280">
        <v>45719</v>
      </c>
      <c r="D909" s="279">
        <v>45720</v>
      </c>
      <c r="E909" s="279">
        <v>45721</v>
      </c>
      <c r="F909" s="132"/>
      <c r="G909" s="132" t="s">
        <v>3233</v>
      </c>
      <c r="H909" s="132" t="s">
        <v>373</v>
      </c>
      <c r="I909" s="132" t="s">
        <v>1100</v>
      </c>
      <c r="J909" s="132" t="s">
        <v>3084</v>
      </c>
      <c r="K909" s="132" t="s">
        <v>3085</v>
      </c>
      <c r="L909" s="132" t="s">
        <v>3086</v>
      </c>
      <c r="M909" s="132" t="s">
        <v>3234</v>
      </c>
      <c r="N909" s="132" t="s">
        <v>1105</v>
      </c>
      <c r="O909" s="132" t="s">
        <v>3044</v>
      </c>
      <c r="P909" s="132" t="s">
        <v>3235</v>
      </c>
      <c r="Q909" s="132" t="s">
        <v>3167</v>
      </c>
      <c r="R909" s="132" t="s">
        <v>1108</v>
      </c>
    </row>
    <row r="910" spans="1:18" x14ac:dyDescent="0.2">
      <c r="A910" t="s">
        <v>312</v>
      </c>
      <c r="B910" s="141">
        <f t="shared" si="14"/>
        <v>60.15</v>
      </c>
      <c r="C910" s="280">
        <v>45719</v>
      </c>
      <c r="D910" s="279">
        <v>45720</v>
      </c>
      <c r="E910" s="279">
        <v>45721</v>
      </c>
      <c r="F910" s="132"/>
      <c r="G910" s="132" t="s">
        <v>1108</v>
      </c>
      <c r="H910" s="132" t="s">
        <v>373</v>
      </c>
      <c r="I910" s="132" t="s">
        <v>1100</v>
      </c>
      <c r="J910" s="132" t="s">
        <v>3084</v>
      </c>
      <c r="K910" s="132" t="s">
        <v>3097</v>
      </c>
      <c r="L910" s="132" t="s">
        <v>3098</v>
      </c>
      <c r="M910" s="132" t="s">
        <v>3236</v>
      </c>
      <c r="N910" s="132" t="s">
        <v>1112</v>
      </c>
      <c r="O910" s="132" t="s">
        <v>3044</v>
      </c>
      <c r="P910" s="132" t="s">
        <v>3237</v>
      </c>
      <c r="Q910" s="132" t="s">
        <v>3167</v>
      </c>
      <c r="R910" s="132" t="s">
        <v>1108</v>
      </c>
    </row>
    <row r="911" spans="1:18" x14ac:dyDescent="0.2">
      <c r="A911" t="s">
        <v>312</v>
      </c>
      <c r="B911" s="141">
        <f t="shared" si="14"/>
        <v>60.15</v>
      </c>
      <c r="C911" s="280">
        <v>45719</v>
      </c>
      <c r="D911" s="279">
        <v>45720</v>
      </c>
      <c r="E911" s="279">
        <v>45721</v>
      </c>
      <c r="F911" s="132"/>
      <c r="G911" s="132" t="s">
        <v>1108</v>
      </c>
      <c r="H911" s="132" t="s">
        <v>373</v>
      </c>
      <c r="I911" s="132" t="s">
        <v>1100</v>
      </c>
      <c r="J911" s="132" t="s">
        <v>3084</v>
      </c>
      <c r="K911" s="132" t="s">
        <v>3097</v>
      </c>
      <c r="L911" s="132" t="s">
        <v>3098</v>
      </c>
      <c r="M911" s="132" t="s">
        <v>3238</v>
      </c>
      <c r="N911" s="132" t="s">
        <v>1112</v>
      </c>
      <c r="O911" s="132" t="s">
        <v>3044</v>
      </c>
      <c r="P911" s="132" t="s">
        <v>3239</v>
      </c>
      <c r="Q911" s="132" t="s">
        <v>3167</v>
      </c>
      <c r="R911" s="132" t="s">
        <v>1108</v>
      </c>
    </row>
    <row r="912" spans="1:18" x14ac:dyDescent="0.2">
      <c r="A912" t="s">
        <v>312</v>
      </c>
      <c r="B912" s="141">
        <f t="shared" si="14"/>
        <v>60.52</v>
      </c>
      <c r="C912" s="280">
        <v>45719</v>
      </c>
      <c r="D912" s="279">
        <v>45720</v>
      </c>
      <c r="E912" s="279">
        <v>45721</v>
      </c>
      <c r="F912" s="132"/>
      <c r="G912" s="132" t="s">
        <v>1108</v>
      </c>
      <c r="H912" s="132" t="s">
        <v>373</v>
      </c>
      <c r="I912" s="132" t="s">
        <v>1100</v>
      </c>
      <c r="J912" s="132" t="s">
        <v>3084</v>
      </c>
      <c r="K912" s="132" t="s">
        <v>3085</v>
      </c>
      <c r="L912" s="132" t="s">
        <v>3086</v>
      </c>
      <c r="M912" s="132" t="s">
        <v>3240</v>
      </c>
      <c r="N912" s="132" t="s">
        <v>1117</v>
      </c>
      <c r="O912" s="132" t="s">
        <v>3044</v>
      </c>
      <c r="P912" s="132" t="s">
        <v>3241</v>
      </c>
      <c r="Q912" s="132" t="s">
        <v>3167</v>
      </c>
      <c r="R912" s="132" t="s">
        <v>1108</v>
      </c>
    </row>
    <row r="913" spans="1:18" x14ac:dyDescent="0.2">
      <c r="A913" t="s">
        <v>312</v>
      </c>
      <c r="B913" s="141">
        <f t="shared" si="14"/>
        <v>60.52</v>
      </c>
      <c r="C913" s="280">
        <v>45719</v>
      </c>
      <c r="D913" s="279">
        <v>45720</v>
      </c>
      <c r="E913" s="279">
        <v>45721</v>
      </c>
      <c r="F913" s="132"/>
      <c r="G913" s="132" t="s">
        <v>824</v>
      </c>
      <c r="H913" s="132" t="s">
        <v>373</v>
      </c>
      <c r="I913" s="132" t="s">
        <v>1100</v>
      </c>
      <c r="J913" s="132" t="s">
        <v>3084</v>
      </c>
      <c r="K913" s="132" t="s">
        <v>3085</v>
      </c>
      <c r="L913" s="132" t="s">
        <v>3086</v>
      </c>
      <c r="M913" s="132" t="s">
        <v>3242</v>
      </c>
      <c r="N913" s="132" t="s">
        <v>1105</v>
      </c>
      <c r="O913" s="132" t="s">
        <v>3044</v>
      </c>
      <c r="P913" s="281" t="s">
        <v>3243</v>
      </c>
      <c r="Q913" s="132" t="s">
        <v>3167</v>
      </c>
      <c r="R913" s="132" t="s">
        <v>1108</v>
      </c>
    </row>
    <row r="914" spans="1:18" x14ac:dyDescent="0.2">
      <c r="A914" t="s">
        <v>312</v>
      </c>
      <c r="B914" s="141">
        <f t="shared" si="14"/>
        <v>60.15</v>
      </c>
      <c r="C914" s="280">
        <v>45719</v>
      </c>
      <c r="D914" s="279">
        <v>45720</v>
      </c>
      <c r="E914" s="279">
        <v>45721</v>
      </c>
      <c r="F914" s="132"/>
      <c r="G914" s="132" t="s">
        <v>1108</v>
      </c>
      <c r="H914" s="132" t="s">
        <v>373</v>
      </c>
      <c r="I914" s="132" t="s">
        <v>1100</v>
      </c>
      <c r="J914" s="132" t="s">
        <v>3084</v>
      </c>
      <c r="K914" s="132" t="s">
        <v>3097</v>
      </c>
      <c r="L914" s="132" t="s">
        <v>3098</v>
      </c>
      <c r="M914" s="132" t="s">
        <v>3244</v>
      </c>
      <c r="N914" s="132" t="s">
        <v>1112</v>
      </c>
      <c r="O914" s="132" t="s">
        <v>3044</v>
      </c>
      <c r="P914" s="132" t="s">
        <v>3245</v>
      </c>
      <c r="Q914" s="132" t="s">
        <v>3167</v>
      </c>
      <c r="R914" s="132" t="s">
        <v>1108</v>
      </c>
    </row>
    <row r="915" spans="1:18" x14ac:dyDescent="0.2">
      <c r="A915" t="s">
        <v>312</v>
      </c>
      <c r="B915" s="141">
        <f t="shared" si="14"/>
        <v>60.52</v>
      </c>
      <c r="C915" s="280">
        <v>45719</v>
      </c>
      <c r="D915" s="279">
        <v>45720</v>
      </c>
      <c r="E915" s="279">
        <v>45721</v>
      </c>
      <c r="F915" s="132"/>
      <c r="G915" s="132" t="s">
        <v>1108</v>
      </c>
      <c r="H915" s="132" t="s">
        <v>373</v>
      </c>
      <c r="I915" s="132" t="s">
        <v>1100</v>
      </c>
      <c r="J915" s="132" t="s">
        <v>3084</v>
      </c>
      <c r="K915" s="132" t="s">
        <v>3085</v>
      </c>
      <c r="L915" s="132" t="s">
        <v>3086</v>
      </c>
      <c r="M915" s="132" t="s">
        <v>3246</v>
      </c>
      <c r="N915" s="132" t="s">
        <v>1117</v>
      </c>
      <c r="O915" s="132" t="s">
        <v>3044</v>
      </c>
      <c r="P915" s="132" t="s">
        <v>3247</v>
      </c>
      <c r="Q915" s="132" t="s">
        <v>3167</v>
      </c>
      <c r="R915" s="132" t="s">
        <v>1108</v>
      </c>
    </row>
    <row r="916" spans="1:18" x14ac:dyDescent="0.2">
      <c r="A916" t="s">
        <v>312</v>
      </c>
      <c r="B916" s="141">
        <f t="shared" si="14"/>
        <v>60.15</v>
      </c>
      <c r="C916" s="280">
        <v>45719</v>
      </c>
      <c r="D916" s="279">
        <v>45720</v>
      </c>
      <c r="E916" s="279">
        <v>45721</v>
      </c>
      <c r="F916" s="132"/>
      <c r="G916" s="132" t="s">
        <v>1108</v>
      </c>
      <c r="H916" s="132" t="s">
        <v>373</v>
      </c>
      <c r="I916" s="132" t="s">
        <v>1100</v>
      </c>
      <c r="J916" s="132" t="s">
        <v>3084</v>
      </c>
      <c r="K916" s="132" t="s">
        <v>3097</v>
      </c>
      <c r="L916" s="132" t="s">
        <v>3098</v>
      </c>
      <c r="M916" s="281" t="s">
        <v>3248</v>
      </c>
      <c r="N916" s="132" t="s">
        <v>1112</v>
      </c>
      <c r="O916" s="132" t="s">
        <v>3044</v>
      </c>
      <c r="P916" s="132" t="s">
        <v>3249</v>
      </c>
      <c r="Q916" s="132" t="s">
        <v>3167</v>
      </c>
      <c r="R916" s="132" t="s">
        <v>1108</v>
      </c>
    </row>
    <row r="917" spans="1:18" x14ac:dyDescent="0.2">
      <c r="A917" t="s">
        <v>312</v>
      </c>
      <c r="B917" s="141">
        <f t="shared" si="14"/>
        <v>60.15</v>
      </c>
      <c r="C917" s="280">
        <v>45719</v>
      </c>
      <c r="D917" s="279">
        <v>45720</v>
      </c>
      <c r="E917" s="279">
        <v>45721</v>
      </c>
      <c r="F917" s="132"/>
      <c r="G917" s="132" t="s">
        <v>1108</v>
      </c>
      <c r="H917" s="132" t="s">
        <v>373</v>
      </c>
      <c r="I917" s="132" t="s">
        <v>1100</v>
      </c>
      <c r="J917" s="132" t="s">
        <v>3084</v>
      </c>
      <c r="K917" s="132" t="s">
        <v>3097</v>
      </c>
      <c r="L917" s="132" t="s">
        <v>3098</v>
      </c>
      <c r="M917" s="281" t="s">
        <v>3250</v>
      </c>
      <c r="N917" s="132" t="s">
        <v>1112</v>
      </c>
      <c r="O917" s="132" t="s">
        <v>3044</v>
      </c>
      <c r="P917" s="132" t="s">
        <v>3251</v>
      </c>
      <c r="Q917" s="132" t="s">
        <v>3167</v>
      </c>
      <c r="R917" s="132" t="s">
        <v>1108</v>
      </c>
    </row>
    <row r="918" spans="1:18" x14ac:dyDescent="0.2">
      <c r="A918" t="s">
        <v>312</v>
      </c>
      <c r="B918" s="141">
        <f t="shared" si="14"/>
        <v>60.15</v>
      </c>
      <c r="C918" s="280">
        <v>45719</v>
      </c>
      <c r="D918" s="279">
        <v>45720</v>
      </c>
      <c r="E918" s="279">
        <v>45721</v>
      </c>
      <c r="F918" s="132"/>
      <c r="G918" s="132" t="s">
        <v>1108</v>
      </c>
      <c r="H918" s="132" t="s">
        <v>373</v>
      </c>
      <c r="I918" s="132" t="s">
        <v>1100</v>
      </c>
      <c r="J918" s="132" t="s">
        <v>3084</v>
      </c>
      <c r="K918" s="132" t="s">
        <v>3097</v>
      </c>
      <c r="L918" s="132" t="s">
        <v>3098</v>
      </c>
      <c r="M918" s="132" t="s">
        <v>3252</v>
      </c>
      <c r="N918" s="132" t="s">
        <v>1112</v>
      </c>
      <c r="O918" s="132" t="s">
        <v>3044</v>
      </c>
      <c r="P918" s="132" t="s">
        <v>3253</v>
      </c>
      <c r="Q918" s="132" t="s">
        <v>3167</v>
      </c>
      <c r="R918" s="132" t="s">
        <v>1108</v>
      </c>
    </row>
    <row r="919" spans="1:18" x14ac:dyDescent="0.2">
      <c r="A919" t="s">
        <v>312</v>
      </c>
      <c r="B919" s="141">
        <f t="shared" si="14"/>
        <v>120.60000000000001</v>
      </c>
      <c r="C919" s="280">
        <v>45719</v>
      </c>
      <c r="D919" s="279">
        <v>45720</v>
      </c>
      <c r="E919" s="279">
        <v>45721</v>
      </c>
      <c r="F919" s="132"/>
      <c r="G919" s="132" t="s">
        <v>1108</v>
      </c>
      <c r="H919" s="132" t="s">
        <v>373</v>
      </c>
      <c r="I919" s="132" t="s">
        <v>1100</v>
      </c>
      <c r="J919" s="132" t="s">
        <v>3138</v>
      </c>
      <c r="K919" s="132" t="s">
        <v>3139</v>
      </c>
      <c r="L919" s="132" t="s">
        <v>3140</v>
      </c>
      <c r="M919" s="132" t="s">
        <v>3254</v>
      </c>
      <c r="N919" s="132" t="s">
        <v>1112</v>
      </c>
      <c r="O919" s="132" t="s">
        <v>3044</v>
      </c>
      <c r="P919" s="132" t="s">
        <v>3255</v>
      </c>
      <c r="Q919" s="132" t="s">
        <v>3167</v>
      </c>
      <c r="R919" s="132" t="s">
        <v>1108</v>
      </c>
    </row>
    <row r="920" spans="1:18" x14ac:dyDescent="0.2">
      <c r="A920" t="s">
        <v>312</v>
      </c>
      <c r="B920" s="141">
        <f t="shared" si="14"/>
        <v>60.15</v>
      </c>
      <c r="C920" s="280">
        <v>45719</v>
      </c>
      <c r="D920" s="279">
        <v>45720</v>
      </c>
      <c r="E920" s="279">
        <v>45721</v>
      </c>
      <c r="F920" s="132"/>
      <c r="G920" s="132" t="s">
        <v>1108</v>
      </c>
      <c r="H920" s="132" t="s">
        <v>373</v>
      </c>
      <c r="I920" s="132" t="s">
        <v>1100</v>
      </c>
      <c r="J920" s="132" t="s">
        <v>3084</v>
      </c>
      <c r="K920" s="132" t="s">
        <v>3097</v>
      </c>
      <c r="L920" s="132" t="s">
        <v>3098</v>
      </c>
      <c r="M920" s="132" t="s">
        <v>3256</v>
      </c>
      <c r="N920" s="132" t="s">
        <v>1112</v>
      </c>
      <c r="O920" s="132" t="s">
        <v>3044</v>
      </c>
      <c r="P920" s="132" t="s">
        <v>3257</v>
      </c>
      <c r="Q920" s="132" t="s">
        <v>3167</v>
      </c>
      <c r="R920" s="132" t="s">
        <v>1108</v>
      </c>
    </row>
    <row r="921" spans="1:18" x14ac:dyDescent="0.2">
      <c r="A921" t="s">
        <v>312</v>
      </c>
      <c r="B921" s="141">
        <f t="shared" si="14"/>
        <v>60.15</v>
      </c>
      <c r="C921" s="280">
        <v>45719</v>
      </c>
      <c r="D921" s="279">
        <v>45720</v>
      </c>
      <c r="E921" s="279">
        <v>45721</v>
      </c>
      <c r="F921" s="132"/>
      <c r="G921" s="132" t="s">
        <v>1108</v>
      </c>
      <c r="H921" s="132" t="s">
        <v>373</v>
      </c>
      <c r="I921" s="132" t="s">
        <v>1100</v>
      </c>
      <c r="J921" s="132" t="s">
        <v>3084</v>
      </c>
      <c r="K921" s="132" t="s">
        <v>3097</v>
      </c>
      <c r="L921" s="132" t="s">
        <v>3098</v>
      </c>
      <c r="M921" s="132" t="s">
        <v>3258</v>
      </c>
      <c r="N921" s="132" t="s">
        <v>1112</v>
      </c>
      <c r="O921" s="132" t="s">
        <v>3044</v>
      </c>
      <c r="P921" s="132" t="s">
        <v>3259</v>
      </c>
      <c r="Q921" s="132" t="s">
        <v>3167</v>
      </c>
      <c r="R921" s="132" t="s">
        <v>1108</v>
      </c>
    </row>
    <row r="922" spans="1:18" x14ac:dyDescent="0.2">
      <c r="A922" t="s">
        <v>312</v>
      </c>
      <c r="B922" s="141">
        <f t="shared" si="14"/>
        <v>121.34</v>
      </c>
      <c r="C922" s="280">
        <v>45721</v>
      </c>
      <c r="D922" s="279">
        <v>45722</v>
      </c>
      <c r="E922" s="279">
        <v>45722</v>
      </c>
      <c r="F922" s="132"/>
      <c r="G922" s="132" t="s">
        <v>3260</v>
      </c>
      <c r="H922" s="132" t="s">
        <v>373</v>
      </c>
      <c r="I922" s="132" t="s">
        <v>1100</v>
      </c>
      <c r="J922" s="132" t="s">
        <v>3138</v>
      </c>
      <c r="K922" s="132" t="s">
        <v>3261</v>
      </c>
      <c r="L922" s="132" t="s">
        <v>3262</v>
      </c>
      <c r="M922" s="132" t="s">
        <v>3263</v>
      </c>
      <c r="N922" s="132" t="s">
        <v>1105</v>
      </c>
      <c r="O922" s="132" t="s">
        <v>3044</v>
      </c>
      <c r="P922" s="132" t="s">
        <v>3264</v>
      </c>
      <c r="Q922" s="132" t="s">
        <v>3265</v>
      </c>
      <c r="R922" s="132" t="s">
        <v>1108</v>
      </c>
    </row>
    <row r="923" spans="1:18" x14ac:dyDescent="0.2">
      <c r="A923" t="s">
        <v>312</v>
      </c>
      <c r="B923" s="141">
        <f t="shared" si="14"/>
        <v>60.15</v>
      </c>
      <c r="C923" s="280">
        <v>45721</v>
      </c>
      <c r="D923" s="279">
        <v>45721</v>
      </c>
      <c r="E923" s="279">
        <v>45722</v>
      </c>
      <c r="F923" s="132"/>
      <c r="G923" s="132" t="s">
        <v>1108</v>
      </c>
      <c r="H923" s="132" t="s">
        <v>373</v>
      </c>
      <c r="I923" s="132" t="s">
        <v>1100</v>
      </c>
      <c r="J923" s="132" t="s">
        <v>3084</v>
      </c>
      <c r="K923" s="132" t="s">
        <v>3097</v>
      </c>
      <c r="L923" s="132" t="s">
        <v>3098</v>
      </c>
      <c r="M923" s="132" t="s">
        <v>3266</v>
      </c>
      <c r="N923" s="132" t="s">
        <v>1112</v>
      </c>
      <c r="O923" s="132" t="s">
        <v>3044</v>
      </c>
      <c r="P923" s="132" t="s">
        <v>3267</v>
      </c>
      <c r="Q923" s="132" t="s">
        <v>3265</v>
      </c>
      <c r="R923" s="132" t="s">
        <v>1108</v>
      </c>
    </row>
    <row r="924" spans="1:18" x14ac:dyDescent="0.2">
      <c r="A924" t="s">
        <v>312</v>
      </c>
      <c r="B924" s="141">
        <f t="shared" si="14"/>
        <v>60.52</v>
      </c>
      <c r="C924" s="280">
        <v>45721</v>
      </c>
      <c r="D924" s="279">
        <v>45722</v>
      </c>
      <c r="E924" s="279">
        <v>45722</v>
      </c>
      <c r="F924" s="132"/>
      <c r="G924" s="132" t="s">
        <v>1108</v>
      </c>
      <c r="H924" s="132" t="s">
        <v>373</v>
      </c>
      <c r="I924" s="132" t="s">
        <v>1100</v>
      </c>
      <c r="J924" s="132" t="s">
        <v>3084</v>
      </c>
      <c r="K924" s="132" t="s">
        <v>3085</v>
      </c>
      <c r="L924" s="132" t="s">
        <v>3086</v>
      </c>
      <c r="M924" s="132" t="s">
        <v>3268</v>
      </c>
      <c r="N924" s="132" t="s">
        <v>1117</v>
      </c>
      <c r="O924" s="132" t="s">
        <v>3044</v>
      </c>
      <c r="P924" s="132" t="s">
        <v>3269</v>
      </c>
      <c r="Q924" s="132" t="s">
        <v>3265</v>
      </c>
      <c r="R924" s="132" t="s">
        <v>1108</v>
      </c>
    </row>
    <row r="925" spans="1:18" x14ac:dyDescent="0.2">
      <c r="A925" t="s">
        <v>312</v>
      </c>
      <c r="B925" s="141">
        <f t="shared" si="14"/>
        <v>120.60000000000001</v>
      </c>
      <c r="C925" s="280">
        <v>45721</v>
      </c>
      <c r="D925" s="279">
        <v>45721</v>
      </c>
      <c r="E925" s="279">
        <v>45722</v>
      </c>
      <c r="F925" s="132"/>
      <c r="G925" s="132" t="s">
        <v>1108</v>
      </c>
      <c r="H925" s="132" t="s">
        <v>373</v>
      </c>
      <c r="I925" s="132" t="s">
        <v>1100</v>
      </c>
      <c r="J925" s="132" t="s">
        <v>3138</v>
      </c>
      <c r="K925" s="132" t="s">
        <v>3139</v>
      </c>
      <c r="L925" s="132" t="s">
        <v>3140</v>
      </c>
      <c r="M925" s="281" t="s">
        <v>3270</v>
      </c>
      <c r="N925" s="132" t="s">
        <v>1112</v>
      </c>
      <c r="O925" s="132" t="s">
        <v>3044</v>
      </c>
      <c r="P925" s="132" t="s">
        <v>3271</v>
      </c>
      <c r="Q925" s="132" t="s">
        <v>3265</v>
      </c>
      <c r="R925" s="132" t="s">
        <v>1108</v>
      </c>
    </row>
    <row r="926" spans="1:18" x14ac:dyDescent="0.2">
      <c r="A926" t="s">
        <v>312</v>
      </c>
      <c r="B926" s="141">
        <f t="shared" si="14"/>
        <v>60.15</v>
      </c>
      <c r="C926" s="280">
        <v>45721</v>
      </c>
      <c r="D926" s="279">
        <v>45721</v>
      </c>
      <c r="E926" s="279">
        <v>45722</v>
      </c>
      <c r="F926" s="132"/>
      <c r="G926" s="132" t="s">
        <v>1108</v>
      </c>
      <c r="H926" s="132" t="s">
        <v>373</v>
      </c>
      <c r="I926" s="132" t="s">
        <v>1100</v>
      </c>
      <c r="J926" s="132" t="s">
        <v>3084</v>
      </c>
      <c r="K926" s="132" t="s">
        <v>3097</v>
      </c>
      <c r="L926" s="132" t="s">
        <v>3098</v>
      </c>
      <c r="M926" s="132" t="s">
        <v>3272</v>
      </c>
      <c r="N926" s="132" t="s">
        <v>1112</v>
      </c>
      <c r="O926" s="132" t="s">
        <v>3044</v>
      </c>
      <c r="P926" s="132" t="s">
        <v>3273</v>
      </c>
      <c r="Q926" s="132" t="s">
        <v>3265</v>
      </c>
      <c r="R926" s="132" t="s">
        <v>1108</v>
      </c>
    </row>
    <row r="927" spans="1:18" x14ac:dyDescent="0.2">
      <c r="A927" t="s">
        <v>312</v>
      </c>
      <c r="B927" s="141">
        <f t="shared" si="14"/>
        <v>60.15</v>
      </c>
      <c r="C927" s="280">
        <v>45721</v>
      </c>
      <c r="D927" s="279">
        <v>45721</v>
      </c>
      <c r="E927" s="279">
        <v>45722</v>
      </c>
      <c r="F927" s="132"/>
      <c r="G927" s="132" t="s">
        <v>1108</v>
      </c>
      <c r="H927" s="132" t="s">
        <v>373</v>
      </c>
      <c r="I927" s="132" t="s">
        <v>1100</v>
      </c>
      <c r="J927" s="132" t="s">
        <v>3084</v>
      </c>
      <c r="K927" s="132" t="s">
        <v>3097</v>
      </c>
      <c r="L927" s="132" t="s">
        <v>3098</v>
      </c>
      <c r="M927" s="132" t="s">
        <v>3274</v>
      </c>
      <c r="N927" s="132" t="s">
        <v>1112</v>
      </c>
      <c r="O927" s="132" t="s">
        <v>3044</v>
      </c>
      <c r="P927" s="132" t="s">
        <v>3275</v>
      </c>
      <c r="Q927" s="132" t="s">
        <v>3265</v>
      </c>
      <c r="R927" s="132" t="s">
        <v>1108</v>
      </c>
    </row>
    <row r="928" spans="1:18" x14ac:dyDescent="0.2">
      <c r="A928" t="s">
        <v>312</v>
      </c>
      <c r="B928" s="141">
        <f t="shared" si="14"/>
        <v>59.78</v>
      </c>
      <c r="C928" s="280">
        <v>45719</v>
      </c>
      <c r="D928" s="279">
        <v>45722</v>
      </c>
      <c r="E928" s="279">
        <v>45723</v>
      </c>
      <c r="F928" s="132"/>
      <c r="G928" s="132" t="s">
        <v>3276</v>
      </c>
      <c r="H928" s="132" t="s">
        <v>373</v>
      </c>
      <c r="I928" s="132" t="s">
        <v>1100</v>
      </c>
      <c r="J928" s="132" t="s">
        <v>3084</v>
      </c>
      <c r="K928" s="132" t="s">
        <v>3277</v>
      </c>
      <c r="L928" s="132" t="s">
        <v>3278</v>
      </c>
      <c r="M928" s="132" t="s">
        <v>3279</v>
      </c>
      <c r="N928" s="132" t="s">
        <v>1105</v>
      </c>
      <c r="O928" s="132" t="s">
        <v>3044</v>
      </c>
      <c r="P928" s="132" t="s">
        <v>3280</v>
      </c>
      <c r="Q928" s="132" t="s">
        <v>3281</v>
      </c>
      <c r="R928" s="132" t="s">
        <v>1108</v>
      </c>
    </row>
    <row r="929" spans="1:18" x14ac:dyDescent="0.2">
      <c r="A929" t="s">
        <v>312</v>
      </c>
      <c r="B929" s="141">
        <f t="shared" si="14"/>
        <v>60.52</v>
      </c>
      <c r="C929" s="280">
        <v>45721</v>
      </c>
      <c r="D929" s="279">
        <v>45722</v>
      </c>
      <c r="E929" s="279">
        <v>45723</v>
      </c>
      <c r="F929" s="132"/>
      <c r="G929" s="132" t="s">
        <v>3282</v>
      </c>
      <c r="H929" s="132" t="s">
        <v>373</v>
      </c>
      <c r="I929" s="132" t="s">
        <v>1100</v>
      </c>
      <c r="J929" s="132" t="s">
        <v>3084</v>
      </c>
      <c r="K929" s="132" t="s">
        <v>3085</v>
      </c>
      <c r="L929" s="132" t="s">
        <v>3086</v>
      </c>
      <c r="M929" s="132" t="s">
        <v>3283</v>
      </c>
      <c r="N929" s="132" t="s">
        <v>1105</v>
      </c>
      <c r="O929" s="132" t="s">
        <v>3044</v>
      </c>
      <c r="P929" s="132" t="s">
        <v>3284</v>
      </c>
      <c r="Q929" s="132" t="s">
        <v>3281</v>
      </c>
      <c r="R929" s="132" t="s">
        <v>1108</v>
      </c>
    </row>
    <row r="930" spans="1:18" x14ac:dyDescent="0.2">
      <c r="A930" t="s">
        <v>312</v>
      </c>
      <c r="B930" s="141">
        <f t="shared" si="14"/>
        <v>60.15</v>
      </c>
      <c r="C930" s="280">
        <v>45721</v>
      </c>
      <c r="D930" s="279">
        <v>45722</v>
      </c>
      <c r="E930" s="279">
        <v>45723</v>
      </c>
      <c r="F930" s="132"/>
      <c r="G930" s="132" t="s">
        <v>1108</v>
      </c>
      <c r="H930" s="132" t="s">
        <v>373</v>
      </c>
      <c r="I930" s="132" t="s">
        <v>1100</v>
      </c>
      <c r="J930" s="132" t="s">
        <v>3084</v>
      </c>
      <c r="K930" s="132" t="s">
        <v>3097</v>
      </c>
      <c r="L930" s="132" t="s">
        <v>3098</v>
      </c>
      <c r="M930" s="132" t="s">
        <v>3285</v>
      </c>
      <c r="N930" s="132" t="s">
        <v>1112</v>
      </c>
      <c r="O930" s="132" t="s">
        <v>3044</v>
      </c>
      <c r="P930" s="132" t="s">
        <v>3286</v>
      </c>
      <c r="Q930" s="132" t="s">
        <v>3281</v>
      </c>
      <c r="R930" s="132" t="s">
        <v>1108</v>
      </c>
    </row>
    <row r="931" spans="1:18" x14ac:dyDescent="0.2">
      <c r="A931" t="s">
        <v>312</v>
      </c>
      <c r="B931" s="141">
        <f t="shared" si="14"/>
        <v>60.52</v>
      </c>
      <c r="C931" s="280">
        <v>45721</v>
      </c>
      <c r="D931" s="279">
        <v>45722</v>
      </c>
      <c r="E931" s="279">
        <v>45723</v>
      </c>
      <c r="F931" s="132"/>
      <c r="G931" s="132" t="s">
        <v>1108</v>
      </c>
      <c r="H931" s="132" t="s">
        <v>373</v>
      </c>
      <c r="I931" s="132" t="s">
        <v>1100</v>
      </c>
      <c r="J931" s="132" t="s">
        <v>3084</v>
      </c>
      <c r="K931" s="132" t="s">
        <v>3085</v>
      </c>
      <c r="L931" s="132" t="s">
        <v>3086</v>
      </c>
      <c r="M931" s="132" t="s">
        <v>3287</v>
      </c>
      <c r="N931" s="132" t="s">
        <v>1117</v>
      </c>
      <c r="O931" s="132" t="s">
        <v>3044</v>
      </c>
      <c r="P931" s="132" t="s">
        <v>3288</v>
      </c>
      <c r="Q931" s="132" t="s">
        <v>3281</v>
      </c>
      <c r="R931" s="132" t="s">
        <v>1108</v>
      </c>
    </row>
    <row r="932" spans="1:18" x14ac:dyDescent="0.2">
      <c r="A932" t="s">
        <v>312</v>
      </c>
      <c r="B932" s="141">
        <f t="shared" si="14"/>
        <v>60.15</v>
      </c>
      <c r="C932" s="280">
        <v>45721</v>
      </c>
      <c r="D932" s="279">
        <v>45722</v>
      </c>
      <c r="E932" s="279">
        <v>45723</v>
      </c>
      <c r="F932" s="132"/>
      <c r="G932" s="132" t="s">
        <v>1108</v>
      </c>
      <c r="H932" s="132" t="s">
        <v>373</v>
      </c>
      <c r="I932" s="132" t="s">
        <v>1100</v>
      </c>
      <c r="J932" s="132" t="s">
        <v>3084</v>
      </c>
      <c r="K932" s="132" t="s">
        <v>3097</v>
      </c>
      <c r="L932" s="132" t="s">
        <v>3098</v>
      </c>
      <c r="M932" s="132" t="s">
        <v>3289</v>
      </c>
      <c r="N932" s="132" t="s">
        <v>1112</v>
      </c>
      <c r="O932" s="132" t="s">
        <v>3044</v>
      </c>
      <c r="P932" s="132" t="s">
        <v>3290</v>
      </c>
      <c r="Q932" s="132" t="s">
        <v>3281</v>
      </c>
      <c r="R932" s="132" t="s">
        <v>1108</v>
      </c>
    </row>
    <row r="933" spans="1:18" x14ac:dyDescent="0.2">
      <c r="A933" t="s">
        <v>312</v>
      </c>
      <c r="B933" s="141">
        <f t="shared" si="14"/>
        <v>60.15</v>
      </c>
      <c r="C933" s="280">
        <v>45721</v>
      </c>
      <c r="D933" s="279">
        <v>45722</v>
      </c>
      <c r="E933" s="279">
        <v>45723</v>
      </c>
      <c r="F933" s="132"/>
      <c r="G933" s="132" t="s">
        <v>1108</v>
      </c>
      <c r="H933" s="132" t="s">
        <v>373</v>
      </c>
      <c r="I933" s="132" t="s">
        <v>1100</v>
      </c>
      <c r="J933" s="132" t="s">
        <v>3084</v>
      </c>
      <c r="K933" s="132" t="s">
        <v>3097</v>
      </c>
      <c r="L933" s="132" t="s">
        <v>3098</v>
      </c>
      <c r="M933" s="132" t="s">
        <v>3291</v>
      </c>
      <c r="N933" s="132" t="s">
        <v>1112</v>
      </c>
      <c r="O933" s="132" t="s">
        <v>3044</v>
      </c>
      <c r="P933" s="132" t="s">
        <v>3292</v>
      </c>
      <c r="Q933" s="132" t="s">
        <v>3281</v>
      </c>
      <c r="R933" s="132" t="s">
        <v>1108</v>
      </c>
    </row>
    <row r="934" spans="1:18" x14ac:dyDescent="0.2">
      <c r="A934" t="s">
        <v>312</v>
      </c>
      <c r="B934" s="141">
        <f t="shared" si="14"/>
        <v>60.15</v>
      </c>
      <c r="C934" s="280">
        <v>45721</v>
      </c>
      <c r="D934" s="279">
        <v>45722</v>
      </c>
      <c r="E934" s="279">
        <v>45723</v>
      </c>
      <c r="F934" s="132"/>
      <c r="G934" s="132" t="s">
        <v>1108</v>
      </c>
      <c r="H934" s="132" t="s">
        <v>373</v>
      </c>
      <c r="I934" s="132" t="s">
        <v>1100</v>
      </c>
      <c r="J934" s="132" t="s">
        <v>3084</v>
      </c>
      <c r="K934" s="132" t="s">
        <v>3097</v>
      </c>
      <c r="L934" s="132" t="s">
        <v>3098</v>
      </c>
      <c r="M934" s="132" t="s">
        <v>3293</v>
      </c>
      <c r="N934" s="132" t="s">
        <v>1112</v>
      </c>
      <c r="O934" s="132" t="s">
        <v>3044</v>
      </c>
      <c r="P934" s="132" t="s">
        <v>3294</v>
      </c>
      <c r="Q934" s="132" t="s">
        <v>3281</v>
      </c>
      <c r="R934" s="132" t="s">
        <v>1108</v>
      </c>
    </row>
    <row r="935" spans="1:18" x14ac:dyDescent="0.2">
      <c r="A935" t="s">
        <v>312</v>
      </c>
      <c r="B935" s="141">
        <f t="shared" si="14"/>
        <v>60.15</v>
      </c>
      <c r="C935" s="280">
        <v>45721</v>
      </c>
      <c r="D935" s="279">
        <v>45722</v>
      </c>
      <c r="E935" s="279">
        <v>45723</v>
      </c>
      <c r="F935" s="132"/>
      <c r="G935" s="132" t="s">
        <v>1108</v>
      </c>
      <c r="H935" s="132" t="s">
        <v>373</v>
      </c>
      <c r="I935" s="132" t="s">
        <v>1100</v>
      </c>
      <c r="J935" s="132" t="s">
        <v>3084</v>
      </c>
      <c r="K935" s="132" t="s">
        <v>3097</v>
      </c>
      <c r="L935" s="132" t="s">
        <v>3098</v>
      </c>
      <c r="M935" s="132" t="s">
        <v>3295</v>
      </c>
      <c r="N935" s="132" t="s">
        <v>1112</v>
      </c>
      <c r="O935" s="132" t="s">
        <v>3044</v>
      </c>
      <c r="P935" s="132" t="s">
        <v>3296</v>
      </c>
      <c r="Q935" s="132" t="s">
        <v>3281</v>
      </c>
      <c r="R935" s="132" t="s">
        <v>1108</v>
      </c>
    </row>
    <row r="936" spans="1:18" x14ac:dyDescent="0.2">
      <c r="A936" t="s">
        <v>155</v>
      </c>
      <c r="B936" s="141">
        <f t="shared" si="14"/>
        <v>2.62</v>
      </c>
      <c r="C936" s="280">
        <v>45723</v>
      </c>
      <c r="D936" s="279">
        <v>45723</v>
      </c>
      <c r="E936" s="279">
        <v>45724</v>
      </c>
      <c r="F936" s="132"/>
      <c r="G936" s="132" t="s">
        <v>1108</v>
      </c>
      <c r="H936" s="132" t="s">
        <v>373</v>
      </c>
      <c r="I936" s="132" t="s">
        <v>1100</v>
      </c>
      <c r="J936" s="132" t="s">
        <v>3022</v>
      </c>
      <c r="K936" s="132" t="s">
        <v>1742</v>
      </c>
      <c r="L936" s="132" t="s">
        <v>3029</v>
      </c>
      <c r="M936" s="132" t="s">
        <v>3297</v>
      </c>
      <c r="N936" s="132" t="s">
        <v>1112</v>
      </c>
      <c r="O936" s="132" t="s">
        <v>3044</v>
      </c>
      <c r="P936" s="132" t="s">
        <v>3298</v>
      </c>
      <c r="Q936" s="132" t="s">
        <v>3299</v>
      </c>
      <c r="R936" s="132" t="s">
        <v>1108</v>
      </c>
    </row>
    <row r="937" spans="1:18" x14ac:dyDescent="0.2">
      <c r="A937" t="s">
        <v>155</v>
      </c>
      <c r="B937" s="141">
        <f t="shared" si="14"/>
        <v>2.62</v>
      </c>
      <c r="C937" s="280">
        <v>45723</v>
      </c>
      <c r="D937" s="279">
        <v>45726</v>
      </c>
      <c r="E937" s="279">
        <v>45727</v>
      </c>
      <c r="F937" s="132"/>
      <c r="G937" s="132" t="s">
        <v>1108</v>
      </c>
      <c r="H937" s="132" t="s">
        <v>373</v>
      </c>
      <c r="I937" s="132" t="s">
        <v>1100</v>
      </c>
      <c r="J937" s="132" t="s">
        <v>3022</v>
      </c>
      <c r="K937" s="132" t="s">
        <v>1742</v>
      </c>
      <c r="L937" s="132" t="s">
        <v>3029</v>
      </c>
      <c r="M937" s="132" t="s">
        <v>3300</v>
      </c>
      <c r="N937" s="132" t="s">
        <v>1112</v>
      </c>
      <c r="O937" s="132" t="s">
        <v>3044</v>
      </c>
      <c r="P937" s="132" t="s">
        <v>3301</v>
      </c>
      <c r="Q937" s="132" t="s">
        <v>3302</v>
      </c>
      <c r="R937" s="132" t="s">
        <v>1108</v>
      </c>
    </row>
    <row r="938" spans="1:18" x14ac:dyDescent="0.2">
      <c r="A938" t="s">
        <v>206</v>
      </c>
      <c r="B938" s="141">
        <f t="shared" si="14"/>
        <v>1.17</v>
      </c>
      <c r="C938" s="280">
        <v>45726</v>
      </c>
      <c r="D938" s="279">
        <v>45727</v>
      </c>
      <c r="E938" s="279">
        <v>45727</v>
      </c>
      <c r="F938" s="132"/>
      <c r="G938" s="132" t="s">
        <v>1108</v>
      </c>
      <c r="H938" s="132" t="s">
        <v>373</v>
      </c>
      <c r="I938" s="132" t="s">
        <v>1100</v>
      </c>
      <c r="J938" s="132" t="s">
        <v>3303</v>
      </c>
      <c r="K938" s="132" t="s">
        <v>3304</v>
      </c>
      <c r="L938" s="132" t="s">
        <v>3305</v>
      </c>
      <c r="M938" s="132" t="s">
        <v>3306</v>
      </c>
      <c r="N938" s="132" t="s">
        <v>1117</v>
      </c>
      <c r="O938" s="132" t="s">
        <v>3044</v>
      </c>
      <c r="P938" s="132" t="s">
        <v>3307</v>
      </c>
      <c r="Q938" s="132" t="s">
        <v>3302</v>
      </c>
      <c r="R938" s="132" t="s">
        <v>1108</v>
      </c>
    </row>
    <row r="939" spans="1:18" x14ac:dyDescent="0.2">
      <c r="A939" t="s">
        <v>206</v>
      </c>
      <c r="B939" s="141">
        <f t="shared" si="14"/>
        <v>1.17</v>
      </c>
      <c r="C939" s="280">
        <v>45726</v>
      </c>
      <c r="D939" s="279">
        <v>45728</v>
      </c>
      <c r="E939" s="279">
        <v>45728</v>
      </c>
      <c r="F939" s="132"/>
      <c r="G939" s="132" t="s">
        <v>796</v>
      </c>
      <c r="H939" s="132" t="s">
        <v>373</v>
      </c>
      <c r="I939" s="132" t="s">
        <v>1100</v>
      </c>
      <c r="J939" s="132" t="s">
        <v>3303</v>
      </c>
      <c r="K939" s="132" t="s">
        <v>3304</v>
      </c>
      <c r="L939" s="132" t="s">
        <v>3305</v>
      </c>
      <c r="M939" s="132" t="s">
        <v>3308</v>
      </c>
      <c r="N939" s="132" t="s">
        <v>1105</v>
      </c>
      <c r="O939" s="132" t="s">
        <v>3044</v>
      </c>
      <c r="P939" s="132" t="s">
        <v>3309</v>
      </c>
      <c r="Q939" s="132" t="s">
        <v>3310</v>
      </c>
      <c r="R939" s="132" t="s">
        <v>1108</v>
      </c>
    </row>
    <row r="940" spans="1:18" x14ac:dyDescent="0.2">
      <c r="A940" t="s">
        <v>206</v>
      </c>
      <c r="B940" s="141">
        <f t="shared" si="14"/>
        <v>1.1599999999999999</v>
      </c>
      <c r="C940" s="280">
        <v>45726</v>
      </c>
      <c r="D940" s="279">
        <v>45727</v>
      </c>
      <c r="E940" s="279">
        <v>45728</v>
      </c>
      <c r="F940" s="132"/>
      <c r="G940" s="132" t="s">
        <v>1108</v>
      </c>
      <c r="H940" s="132" t="s">
        <v>373</v>
      </c>
      <c r="I940" s="132" t="s">
        <v>1100</v>
      </c>
      <c r="J940" s="132" t="s">
        <v>3303</v>
      </c>
      <c r="K940" s="132" t="s">
        <v>3311</v>
      </c>
      <c r="L940" s="132" t="s">
        <v>3312</v>
      </c>
      <c r="M940" s="132" t="s">
        <v>3313</v>
      </c>
      <c r="N940" s="132" t="s">
        <v>1112</v>
      </c>
      <c r="O940" s="132" t="s">
        <v>3044</v>
      </c>
      <c r="P940" s="132" t="s">
        <v>3314</v>
      </c>
      <c r="Q940" s="132" t="s">
        <v>3310</v>
      </c>
      <c r="R940" s="132" t="s">
        <v>1108</v>
      </c>
    </row>
    <row r="941" spans="1:18" x14ac:dyDescent="0.2">
      <c r="A941" t="s">
        <v>206</v>
      </c>
      <c r="B941" s="141">
        <f t="shared" si="14"/>
        <v>1.1599999999999999</v>
      </c>
      <c r="C941" s="280">
        <v>45726</v>
      </c>
      <c r="D941" s="279">
        <v>45727</v>
      </c>
      <c r="E941" s="279">
        <v>45728</v>
      </c>
      <c r="F941" s="132"/>
      <c r="G941" s="132" t="s">
        <v>1108</v>
      </c>
      <c r="H941" s="132" t="s">
        <v>373</v>
      </c>
      <c r="I941" s="132" t="s">
        <v>1100</v>
      </c>
      <c r="J941" s="132" t="s">
        <v>3303</v>
      </c>
      <c r="K941" s="132" t="s">
        <v>3311</v>
      </c>
      <c r="L941" s="132" t="s">
        <v>3312</v>
      </c>
      <c r="M941" s="132" t="s">
        <v>3315</v>
      </c>
      <c r="N941" s="132" t="s">
        <v>1112</v>
      </c>
      <c r="O941" s="132" t="s">
        <v>3044</v>
      </c>
      <c r="P941" s="132" t="s">
        <v>3316</v>
      </c>
      <c r="Q941" s="132" t="s">
        <v>3310</v>
      </c>
      <c r="R941" s="132" t="s">
        <v>1108</v>
      </c>
    </row>
    <row r="942" spans="1:18" x14ac:dyDescent="0.2">
      <c r="A942" t="s">
        <v>206</v>
      </c>
      <c r="B942" s="141">
        <f t="shared" si="14"/>
        <v>1.17</v>
      </c>
      <c r="C942" s="280">
        <v>45726</v>
      </c>
      <c r="D942" s="279">
        <v>45727</v>
      </c>
      <c r="E942" s="279">
        <v>45728</v>
      </c>
      <c r="F942" s="132"/>
      <c r="G942" s="132" t="s">
        <v>1108</v>
      </c>
      <c r="H942" s="132" t="s">
        <v>373</v>
      </c>
      <c r="I942" s="132" t="s">
        <v>1100</v>
      </c>
      <c r="J942" s="132" t="s">
        <v>3303</v>
      </c>
      <c r="K942" s="132" t="s">
        <v>3304</v>
      </c>
      <c r="L942" s="132" t="s">
        <v>3305</v>
      </c>
      <c r="M942" s="132" t="s">
        <v>3317</v>
      </c>
      <c r="N942" s="132" t="s">
        <v>1117</v>
      </c>
      <c r="O942" s="132" t="s">
        <v>3044</v>
      </c>
      <c r="P942" s="132" t="s">
        <v>3318</v>
      </c>
      <c r="Q942" s="132" t="s">
        <v>3310</v>
      </c>
      <c r="R942" s="132" t="s">
        <v>1108</v>
      </c>
    </row>
    <row r="943" spans="1:18" x14ac:dyDescent="0.2">
      <c r="A943" t="s">
        <v>206</v>
      </c>
      <c r="B943" s="141">
        <f t="shared" si="14"/>
        <v>1.1599999999999999</v>
      </c>
      <c r="C943" s="280">
        <v>45726</v>
      </c>
      <c r="D943" s="279">
        <v>45727</v>
      </c>
      <c r="E943" s="279">
        <v>45728</v>
      </c>
      <c r="F943" s="132"/>
      <c r="G943" s="132" t="s">
        <v>1108</v>
      </c>
      <c r="H943" s="132" t="s">
        <v>373</v>
      </c>
      <c r="I943" s="132" t="s">
        <v>1100</v>
      </c>
      <c r="J943" s="132" t="s">
        <v>3303</v>
      </c>
      <c r="K943" s="132" t="s">
        <v>3311</v>
      </c>
      <c r="L943" s="132" t="s">
        <v>3312</v>
      </c>
      <c r="M943" s="132" t="s">
        <v>3319</v>
      </c>
      <c r="N943" s="132" t="s">
        <v>1112</v>
      </c>
      <c r="O943" s="132" t="s">
        <v>3044</v>
      </c>
      <c r="P943" s="132" t="s">
        <v>3320</v>
      </c>
      <c r="Q943" s="132" t="s">
        <v>3310</v>
      </c>
      <c r="R943" s="132" t="s">
        <v>1108</v>
      </c>
    </row>
    <row r="944" spans="1:18" x14ac:dyDescent="0.2">
      <c r="A944" t="s">
        <v>206</v>
      </c>
      <c r="B944" s="141">
        <f t="shared" si="14"/>
        <v>1.17</v>
      </c>
      <c r="C944" s="280">
        <v>45726</v>
      </c>
      <c r="D944" s="279">
        <v>45727</v>
      </c>
      <c r="E944" s="279">
        <v>45728</v>
      </c>
      <c r="F944" s="132"/>
      <c r="G944" s="132" t="s">
        <v>1108</v>
      </c>
      <c r="H944" s="132" t="s">
        <v>373</v>
      </c>
      <c r="I944" s="132" t="s">
        <v>1100</v>
      </c>
      <c r="J944" s="132" t="s">
        <v>3303</v>
      </c>
      <c r="K944" s="132" t="s">
        <v>3304</v>
      </c>
      <c r="L944" s="132" t="s">
        <v>3305</v>
      </c>
      <c r="M944" s="132" t="s">
        <v>3321</v>
      </c>
      <c r="N944" s="132" t="s">
        <v>1117</v>
      </c>
      <c r="O944" s="132" t="s">
        <v>3044</v>
      </c>
      <c r="P944" s="132" t="s">
        <v>3322</v>
      </c>
      <c r="Q944" s="132" t="s">
        <v>3310</v>
      </c>
      <c r="R944" s="132" t="s">
        <v>1108</v>
      </c>
    </row>
    <row r="945" spans="1:18" x14ac:dyDescent="0.2">
      <c r="A945" t="s">
        <v>206</v>
      </c>
      <c r="B945" s="141">
        <f t="shared" si="14"/>
        <v>1.17</v>
      </c>
      <c r="C945" s="280">
        <v>45726</v>
      </c>
      <c r="D945" s="279">
        <v>45728</v>
      </c>
      <c r="E945" s="279">
        <v>45728</v>
      </c>
      <c r="F945" s="132"/>
      <c r="G945" s="132" t="s">
        <v>1108</v>
      </c>
      <c r="H945" s="132" t="s">
        <v>373</v>
      </c>
      <c r="I945" s="132" t="s">
        <v>1100</v>
      </c>
      <c r="J945" s="132" t="s">
        <v>3303</v>
      </c>
      <c r="K945" s="132" t="s">
        <v>3304</v>
      </c>
      <c r="L945" s="132" t="s">
        <v>3305</v>
      </c>
      <c r="M945" s="132" t="s">
        <v>3323</v>
      </c>
      <c r="N945" s="132" t="s">
        <v>1117</v>
      </c>
      <c r="O945" s="132" t="s">
        <v>3044</v>
      </c>
      <c r="P945" s="132" t="s">
        <v>3324</v>
      </c>
      <c r="Q945" s="132" t="s">
        <v>3310</v>
      </c>
      <c r="R945" s="132" t="s">
        <v>1108</v>
      </c>
    </row>
    <row r="946" spans="1:18" x14ac:dyDescent="0.2">
      <c r="A946" t="s">
        <v>206</v>
      </c>
      <c r="B946" s="141">
        <f t="shared" si="14"/>
        <v>1.17</v>
      </c>
      <c r="C946" s="280">
        <v>45726</v>
      </c>
      <c r="D946" s="279">
        <v>45727</v>
      </c>
      <c r="E946" s="279">
        <v>45728</v>
      </c>
      <c r="F946" s="132"/>
      <c r="G946" s="132" t="s">
        <v>1108</v>
      </c>
      <c r="H946" s="132" t="s">
        <v>373</v>
      </c>
      <c r="I946" s="132" t="s">
        <v>1100</v>
      </c>
      <c r="J946" s="132" t="s">
        <v>3303</v>
      </c>
      <c r="K946" s="132" t="s">
        <v>3304</v>
      </c>
      <c r="L946" s="132" t="s">
        <v>3305</v>
      </c>
      <c r="M946" s="132" t="s">
        <v>3325</v>
      </c>
      <c r="N946" s="132" t="s">
        <v>1117</v>
      </c>
      <c r="O946" s="132" t="s">
        <v>3044</v>
      </c>
      <c r="P946" s="132" t="s">
        <v>3326</v>
      </c>
      <c r="Q946" s="132" t="s">
        <v>3310</v>
      </c>
      <c r="R946" s="132" t="s">
        <v>1108</v>
      </c>
    </row>
    <row r="947" spans="1:18" x14ac:dyDescent="0.2">
      <c r="A947" t="s">
        <v>206</v>
      </c>
      <c r="B947" s="141">
        <f t="shared" si="14"/>
        <v>1.1599999999999999</v>
      </c>
      <c r="C947" s="280">
        <v>45726</v>
      </c>
      <c r="D947" s="279">
        <v>45727</v>
      </c>
      <c r="E947" s="279">
        <v>45728</v>
      </c>
      <c r="F947" s="132"/>
      <c r="G947" s="132" t="s">
        <v>1108</v>
      </c>
      <c r="H947" s="132" t="s">
        <v>373</v>
      </c>
      <c r="I947" s="132" t="s">
        <v>1100</v>
      </c>
      <c r="J947" s="132" t="s">
        <v>3303</v>
      </c>
      <c r="K947" s="132" t="s">
        <v>3311</v>
      </c>
      <c r="L947" s="132" t="s">
        <v>3312</v>
      </c>
      <c r="M947" s="132" t="s">
        <v>3327</v>
      </c>
      <c r="N947" s="132" t="s">
        <v>1112</v>
      </c>
      <c r="O947" s="132" t="s">
        <v>3044</v>
      </c>
      <c r="P947" s="132" t="s">
        <v>3328</v>
      </c>
      <c r="Q947" s="132" t="s">
        <v>3310</v>
      </c>
      <c r="R947" s="132" t="s">
        <v>1108</v>
      </c>
    </row>
    <row r="948" spans="1:18" x14ac:dyDescent="0.2">
      <c r="A948" t="s">
        <v>206</v>
      </c>
      <c r="B948" s="141">
        <f t="shared" si="14"/>
        <v>1.1599999999999999</v>
      </c>
      <c r="C948" s="280">
        <v>45727</v>
      </c>
      <c r="D948" s="279">
        <v>45727</v>
      </c>
      <c r="E948" s="279">
        <v>45728</v>
      </c>
      <c r="F948" s="132"/>
      <c r="G948" s="132" t="s">
        <v>1108</v>
      </c>
      <c r="H948" s="132" t="s">
        <v>373</v>
      </c>
      <c r="I948" s="132" t="s">
        <v>1100</v>
      </c>
      <c r="J948" s="132" t="s">
        <v>3303</v>
      </c>
      <c r="K948" s="132" t="s">
        <v>3311</v>
      </c>
      <c r="L948" s="132" t="s">
        <v>3312</v>
      </c>
      <c r="M948" s="132" t="s">
        <v>3329</v>
      </c>
      <c r="N948" s="132" t="s">
        <v>1112</v>
      </c>
      <c r="O948" s="132" t="s">
        <v>3044</v>
      </c>
      <c r="P948" s="132" t="s">
        <v>3330</v>
      </c>
      <c r="Q948" s="132" t="s">
        <v>3310</v>
      </c>
      <c r="R948" s="132" t="s">
        <v>1108</v>
      </c>
    </row>
    <row r="949" spans="1:18" x14ac:dyDescent="0.2">
      <c r="A949" t="s">
        <v>155</v>
      </c>
      <c r="B949" s="141">
        <f t="shared" si="14"/>
        <v>2.62</v>
      </c>
      <c r="C949" s="280">
        <v>45727</v>
      </c>
      <c r="D949" s="279">
        <v>45727</v>
      </c>
      <c r="E949" s="279">
        <v>45728</v>
      </c>
      <c r="F949" s="132"/>
      <c r="G949" s="132" t="s">
        <v>1108</v>
      </c>
      <c r="H949" s="132" t="s">
        <v>373</v>
      </c>
      <c r="I949" s="132" t="s">
        <v>1100</v>
      </c>
      <c r="J949" s="132" t="s">
        <v>3022</v>
      </c>
      <c r="K949" s="132" t="s">
        <v>1742</v>
      </c>
      <c r="L949" s="132" t="s">
        <v>3029</v>
      </c>
      <c r="M949" s="132" t="s">
        <v>3331</v>
      </c>
      <c r="N949" s="132" t="s">
        <v>1112</v>
      </c>
      <c r="O949" s="132" t="s">
        <v>3044</v>
      </c>
      <c r="P949" s="132" t="s">
        <v>3332</v>
      </c>
      <c r="Q949" s="132" t="s">
        <v>3310</v>
      </c>
      <c r="R949" s="132" t="s">
        <v>1108</v>
      </c>
    </row>
    <row r="950" spans="1:18" x14ac:dyDescent="0.2">
      <c r="A950" t="s">
        <v>155</v>
      </c>
      <c r="B950" s="141">
        <f t="shared" si="14"/>
        <v>2.62</v>
      </c>
      <c r="C950" s="280">
        <v>45727</v>
      </c>
      <c r="D950" s="279">
        <v>45727</v>
      </c>
      <c r="E950" s="279">
        <v>45728</v>
      </c>
      <c r="F950" s="132"/>
      <c r="G950" s="132" t="s">
        <v>1108</v>
      </c>
      <c r="H950" s="132" t="s">
        <v>373</v>
      </c>
      <c r="I950" s="132" t="s">
        <v>1100</v>
      </c>
      <c r="J950" s="132" t="s">
        <v>3022</v>
      </c>
      <c r="K950" s="132" t="s">
        <v>1742</v>
      </c>
      <c r="L950" s="132" t="s">
        <v>3029</v>
      </c>
      <c r="M950" s="132" t="s">
        <v>3333</v>
      </c>
      <c r="N950" s="132" t="s">
        <v>1112</v>
      </c>
      <c r="O950" s="132" t="s">
        <v>3044</v>
      </c>
      <c r="P950" s="132" t="s">
        <v>3334</v>
      </c>
      <c r="Q950" s="132" t="s">
        <v>3310</v>
      </c>
      <c r="R950" s="132" t="s">
        <v>1108</v>
      </c>
    </row>
    <row r="951" spans="1:18" x14ac:dyDescent="0.2">
      <c r="A951" t="s">
        <v>155</v>
      </c>
      <c r="B951" s="141">
        <f t="shared" ref="B951:B1014" si="15">_xlfn.NUMBERVALUE(L951)*0.01</f>
        <v>2.62</v>
      </c>
      <c r="C951" s="280">
        <v>45727</v>
      </c>
      <c r="D951" s="279">
        <v>45727</v>
      </c>
      <c r="E951" s="279">
        <v>45728</v>
      </c>
      <c r="F951" s="132"/>
      <c r="G951" s="132" t="s">
        <v>1108</v>
      </c>
      <c r="H951" s="132" t="s">
        <v>373</v>
      </c>
      <c r="I951" s="132" t="s">
        <v>1100</v>
      </c>
      <c r="J951" s="132" t="s">
        <v>3022</v>
      </c>
      <c r="K951" s="132" t="s">
        <v>1742</v>
      </c>
      <c r="L951" s="132" t="s">
        <v>3029</v>
      </c>
      <c r="M951" s="132" t="s">
        <v>3335</v>
      </c>
      <c r="N951" s="132" t="s">
        <v>1112</v>
      </c>
      <c r="O951" s="132" t="s">
        <v>3044</v>
      </c>
      <c r="P951" s="132" t="s">
        <v>3336</v>
      </c>
      <c r="Q951" s="132" t="s">
        <v>3310</v>
      </c>
      <c r="R951" s="132" t="s">
        <v>1108</v>
      </c>
    </row>
    <row r="952" spans="1:18" x14ac:dyDescent="0.2">
      <c r="A952" t="s">
        <v>206</v>
      </c>
      <c r="B952" s="141">
        <f t="shared" si="15"/>
        <v>1.1599999999999999</v>
      </c>
      <c r="C952" s="280">
        <v>45727</v>
      </c>
      <c r="D952" s="279">
        <v>45727</v>
      </c>
      <c r="E952" s="279">
        <v>45728</v>
      </c>
      <c r="F952" s="132"/>
      <c r="G952" s="132" t="s">
        <v>1108</v>
      </c>
      <c r="H952" s="132" t="s">
        <v>373</v>
      </c>
      <c r="I952" s="132" t="s">
        <v>1100</v>
      </c>
      <c r="J952" s="132" t="s">
        <v>3303</v>
      </c>
      <c r="K952" s="132" t="s">
        <v>3311</v>
      </c>
      <c r="L952" s="132" t="s">
        <v>3312</v>
      </c>
      <c r="M952" s="132" t="s">
        <v>3337</v>
      </c>
      <c r="N952" s="132" t="s">
        <v>1112</v>
      </c>
      <c r="O952" s="132" t="s">
        <v>3044</v>
      </c>
      <c r="P952" s="132" t="s">
        <v>3338</v>
      </c>
      <c r="Q952" s="132" t="s">
        <v>3310</v>
      </c>
      <c r="R952" s="132" t="s">
        <v>1108</v>
      </c>
    </row>
    <row r="953" spans="1:18" x14ac:dyDescent="0.2">
      <c r="A953" t="s">
        <v>206</v>
      </c>
      <c r="B953" s="141">
        <f t="shared" si="15"/>
        <v>1.17</v>
      </c>
      <c r="C953" s="280">
        <v>45727</v>
      </c>
      <c r="D953" s="279">
        <v>45728</v>
      </c>
      <c r="E953" s="279">
        <v>45729</v>
      </c>
      <c r="F953" s="132"/>
      <c r="G953" s="132" t="s">
        <v>1585</v>
      </c>
      <c r="H953" s="132" t="s">
        <v>373</v>
      </c>
      <c r="I953" s="132" t="s">
        <v>1100</v>
      </c>
      <c r="J953" s="132" t="s">
        <v>3303</v>
      </c>
      <c r="K953" s="132" t="s">
        <v>3304</v>
      </c>
      <c r="L953" s="132" t="s">
        <v>3305</v>
      </c>
      <c r="M953" s="132" t="s">
        <v>3339</v>
      </c>
      <c r="N953" s="132" t="s">
        <v>1105</v>
      </c>
      <c r="O953" s="132" t="s">
        <v>3044</v>
      </c>
      <c r="P953" s="132" t="s">
        <v>3340</v>
      </c>
      <c r="Q953" s="132" t="s">
        <v>3341</v>
      </c>
      <c r="R953" s="132" t="s">
        <v>1108</v>
      </c>
    </row>
    <row r="954" spans="1:18" x14ac:dyDescent="0.2">
      <c r="A954" t="s">
        <v>206</v>
      </c>
      <c r="B954" s="141">
        <f t="shared" si="15"/>
        <v>1.1599999999999999</v>
      </c>
      <c r="C954" s="280">
        <v>45727</v>
      </c>
      <c r="D954" s="279">
        <v>45728</v>
      </c>
      <c r="E954" s="279">
        <v>45729</v>
      </c>
      <c r="F954" s="132"/>
      <c r="G954" s="132" t="s">
        <v>1108</v>
      </c>
      <c r="H954" s="132" t="s">
        <v>373</v>
      </c>
      <c r="I954" s="132" t="s">
        <v>1100</v>
      </c>
      <c r="J954" s="132" t="s">
        <v>3303</v>
      </c>
      <c r="K954" s="132" t="s">
        <v>3311</v>
      </c>
      <c r="L954" s="132" t="s">
        <v>3312</v>
      </c>
      <c r="M954" s="132" t="s">
        <v>3342</v>
      </c>
      <c r="N954" s="132" t="s">
        <v>1112</v>
      </c>
      <c r="O954" s="132" t="s">
        <v>3044</v>
      </c>
      <c r="P954" s="132" t="s">
        <v>3343</v>
      </c>
      <c r="Q954" s="132" t="s">
        <v>3341</v>
      </c>
      <c r="R954" s="132" t="s">
        <v>1108</v>
      </c>
    </row>
    <row r="955" spans="1:18" x14ac:dyDescent="0.2">
      <c r="A955" t="s">
        <v>206</v>
      </c>
      <c r="B955" s="141">
        <f t="shared" si="15"/>
        <v>1.17</v>
      </c>
      <c r="C955" s="280">
        <v>45727</v>
      </c>
      <c r="D955" s="279">
        <v>45728</v>
      </c>
      <c r="E955" s="279">
        <v>45729</v>
      </c>
      <c r="F955" s="132"/>
      <c r="G955" s="132" t="s">
        <v>1712</v>
      </c>
      <c r="H955" s="132" t="s">
        <v>373</v>
      </c>
      <c r="I955" s="132" t="s">
        <v>1100</v>
      </c>
      <c r="J955" s="132" t="s">
        <v>3303</v>
      </c>
      <c r="K955" s="132" t="s">
        <v>3304</v>
      </c>
      <c r="L955" s="132" t="s">
        <v>3305</v>
      </c>
      <c r="M955" s="132" t="s">
        <v>3344</v>
      </c>
      <c r="N955" s="132" t="s">
        <v>1105</v>
      </c>
      <c r="O955" s="132" t="s">
        <v>3044</v>
      </c>
      <c r="P955" s="132" t="s">
        <v>3345</v>
      </c>
      <c r="Q955" s="132" t="s">
        <v>3341</v>
      </c>
      <c r="R955" s="132" t="s">
        <v>1108</v>
      </c>
    </row>
    <row r="956" spans="1:18" x14ac:dyDescent="0.2">
      <c r="A956" t="s">
        <v>206</v>
      </c>
      <c r="B956" s="141">
        <f t="shared" si="15"/>
        <v>1.17</v>
      </c>
      <c r="C956" s="280">
        <v>45727</v>
      </c>
      <c r="D956" s="279">
        <v>45728</v>
      </c>
      <c r="E956" s="279">
        <v>45729</v>
      </c>
      <c r="F956" s="132"/>
      <c r="G956" s="132" t="s">
        <v>1923</v>
      </c>
      <c r="H956" s="132" t="s">
        <v>373</v>
      </c>
      <c r="I956" s="132" t="s">
        <v>1100</v>
      </c>
      <c r="J956" s="132" t="s">
        <v>3303</v>
      </c>
      <c r="K956" s="132" t="s">
        <v>3304</v>
      </c>
      <c r="L956" s="132" t="s">
        <v>3305</v>
      </c>
      <c r="M956" s="132" t="s">
        <v>3346</v>
      </c>
      <c r="N956" s="132" t="s">
        <v>1105</v>
      </c>
      <c r="O956" s="132" t="s">
        <v>3044</v>
      </c>
      <c r="P956" s="132" t="s">
        <v>3347</v>
      </c>
      <c r="Q956" s="132" t="s">
        <v>3341</v>
      </c>
      <c r="R956" s="132" t="s">
        <v>1108</v>
      </c>
    </row>
    <row r="957" spans="1:18" x14ac:dyDescent="0.2">
      <c r="A957" t="s">
        <v>207</v>
      </c>
      <c r="B957" s="141">
        <f t="shared" si="15"/>
        <v>2.64</v>
      </c>
      <c r="C957" s="280">
        <v>45727</v>
      </c>
      <c r="D957" s="279">
        <v>45728</v>
      </c>
      <c r="E957" s="279">
        <v>45729</v>
      </c>
      <c r="F957" s="132"/>
      <c r="G957" s="132" t="s">
        <v>3011</v>
      </c>
      <c r="H957" s="132" t="s">
        <v>373</v>
      </c>
      <c r="I957" s="132" t="s">
        <v>1100</v>
      </c>
      <c r="J957" s="132" t="s">
        <v>3022</v>
      </c>
      <c r="K957" s="132" t="s">
        <v>3023</v>
      </c>
      <c r="L957" s="132" t="s">
        <v>3024</v>
      </c>
      <c r="M957" s="132" t="s">
        <v>3348</v>
      </c>
      <c r="N957" s="132" t="s">
        <v>1105</v>
      </c>
      <c r="O957" s="132" t="s">
        <v>3044</v>
      </c>
      <c r="P957" s="132" t="s">
        <v>3349</v>
      </c>
      <c r="Q957" s="132" t="s">
        <v>3341</v>
      </c>
      <c r="R957" s="132" t="s">
        <v>1108</v>
      </c>
    </row>
    <row r="958" spans="1:18" x14ac:dyDescent="0.2">
      <c r="A958" t="s">
        <v>207</v>
      </c>
      <c r="B958" s="141">
        <f t="shared" si="15"/>
        <v>2.62</v>
      </c>
      <c r="C958" s="280">
        <v>45728</v>
      </c>
      <c r="D958" s="279">
        <v>45729</v>
      </c>
      <c r="E958" s="279">
        <v>45730</v>
      </c>
      <c r="F958" s="132"/>
      <c r="G958" s="132" t="s">
        <v>1108</v>
      </c>
      <c r="H958" s="132" t="s">
        <v>373</v>
      </c>
      <c r="I958" s="132" t="s">
        <v>1100</v>
      </c>
      <c r="J958" s="132" t="s">
        <v>3022</v>
      </c>
      <c r="K958" s="132" t="s">
        <v>1742</v>
      </c>
      <c r="L958" s="132" t="s">
        <v>3029</v>
      </c>
      <c r="M958" s="132" t="s">
        <v>3350</v>
      </c>
      <c r="N958" s="132" t="s">
        <v>1112</v>
      </c>
      <c r="O958" s="132" t="s">
        <v>3044</v>
      </c>
      <c r="P958" s="132" t="s">
        <v>3351</v>
      </c>
      <c r="Q958" s="132" t="s">
        <v>3352</v>
      </c>
      <c r="R958" s="132" t="s">
        <v>1108</v>
      </c>
    </row>
    <row r="959" spans="1:18" x14ac:dyDescent="0.2">
      <c r="A959" t="s">
        <v>207</v>
      </c>
      <c r="B959" s="141">
        <f t="shared" si="15"/>
        <v>4.1100000000000003</v>
      </c>
      <c r="C959" s="280">
        <v>45728</v>
      </c>
      <c r="D959" s="279">
        <v>45729</v>
      </c>
      <c r="E959" s="279">
        <v>45730</v>
      </c>
      <c r="F959" s="132"/>
      <c r="G959" s="132" t="s">
        <v>1108</v>
      </c>
      <c r="H959" s="132" t="s">
        <v>373</v>
      </c>
      <c r="I959" s="132" t="s">
        <v>1100</v>
      </c>
      <c r="J959" s="132" t="s">
        <v>3353</v>
      </c>
      <c r="K959" s="132" t="s">
        <v>3354</v>
      </c>
      <c r="L959" s="132" t="s">
        <v>1756</v>
      </c>
      <c r="M959" s="132" t="s">
        <v>3355</v>
      </c>
      <c r="N959" s="132" t="s">
        <v>1117</v>
      </c>
      <c r="O959" s="132" t="s">
        <v>3044</v>
      </c>
      <c r="P959" s="132" t="s">
        <v>3356</v>
      </c>
      <c r="Q959" s="132" t="s">
        <v>3352</v>
      </c>
      <c r="R959" s="132" t="s">
        <v>1108</v>
      </c>
    </row>
    <row r="960" spans="1:18" x14ac:dyDescent="0.2">
      <c r="A960" t="s">
        <v>156</v>
      </c>
      <c r="B960" s="141">
        <f t="shared" si="15"/>
        <v>7.5</v>
      </c>
      <c r="C960" s="280">
        <v>45728</v>
      </c>
      <c r="D960" s="279">
        <v>45729</v>
      </c>
      <c r="E960" s="279">
        <v>45730</v>
      </c>
      <c r="F960" s="132"/>
      <c r="G960" s="132" t="s">
        <v>1108</v>
      </c>
      <c r="H960" s="132" t="s">
        <v>373</v>
      </c>
      <c r="I960" s="132" t="s">
        <v>1100</v>
      </c>
      <c r="J960" s="132" t="s">
        <v>3053</v>
      </c>
      <c r="K960" s="132" t="s">
        <v>3056</v>
      </c>
      <c r="L960" s="132" t="s">
        <v>3057</v>
      </c>
      <c r="M960" s="132" t="s">
        <v>3357</v>
      </c>
      <c r="N960" s="132" t="s">
        <v>1112</v>
      </c>
      <c r="O960" s="132" t="s">
        <v>3044</v>
      </c>
      <c r="P960" s="132" t="s">
        <v>3358</v>
      </c>
      <c r="Q960" s="132" t="s">
        <v>3352</v>
      </c>
      <c r="R960" s="132" t="s">
        <v>1108</v>
      </c>
    </row>
    <row r="961" spans="1:18" x14ac:dyDescent="0.2">
      <c r="A961" t="s">
        <v>155</v>
      </c>
      <c r="B961" s="141">
        <f t="shared" si="15"/>
        <v>2.62</v>
      </c>
      <c r="C961" s="280">
        <v>45729</v>
      </c>
      <c r="D961" s="279">
        <v>45729</v>
      </c>
      <c r="E961" s="279">
        <v>45730</v>
      </c>
      <c r="F961" s="132"/>
      <c r="G961" s="132" t="s">
        <v>1108</v>
      </c>
      <c r="H961" s="132" t="s">
        <v>373</v>
      </c>
      <c r="I961" s="132" t="s">
        <v>1100</v>
      </c>
      <c r="J961" s="132" t="s">
        <v>3022</v>
      </c>
      <c r="K961" s="132" t="s">
        <v>1742</v>
      </c>
      <c r="L961" s="132" t="s">
        <v>3029</v>
      </c>
      <c r="M961" s="132" t="s">
        <v>3359</v>
      </c>
      <c r="N961" s="132" t="s">
        <v>1112</v>
      </c>
      <c r="O961" s="132" t="s">
        <v>3044</v>
      </c>
      <c r="P961" s="132" t="s">
        <v>3360</v>
      </c>
      <c r="Q961" s="132" t="s">
        <v>3352</v>
      </c>
      <c r="R961" s="132" t="s">
        <v>1108</v>
      </c>
    </row>
    <row r="962" spans="1:18" x14ac:dyDescent="0.2">
      <c r="A962" t="s">
        <v>155</v>
      </c>
      <c r="B962" s="141">
        <f t="shared" si="15"/>
        <v>2.62</v>
      </c>
      <c r="C962" s="280">
        <v>45729</v>
      </c>
      <c r="D962" s="279">
        <v>45729</v>
      </c>
      <c r="E962" s="279">
        <v>45730</v>
      </c>
      <c r="F962" s="132"/>
      <c r="G962" s="132" t="s">
        <v>1108</v>
      </c>
      <c r="H962" s="132" t="s">
        <v>373</v>
      </c>
      <c r="I962" s="132" t="s">
        <v>1100</v>
      </c>
      <c r="J962" s="132" t="s">
        <v>3022</v>
      </c>
      <c r="K962" s="132" t="s">
        <v>1742</v>
      </c>
      <c r="L962" s="132" t="s">
        <v>3029</v>
      </c>
      <c r="M962" s="132" t="s">
        <v>3361</v>
      </c>
      <c r="N962" s="132" t="s">
        <v>1112</v>
      </c>
      <c r="O962" s="132" t="s">
        <v>3044</v>
      </c>
      <c r="P962" s="132" t="s">
        <v>3362</v>
      </c>
      <c r="Q962" s="132" t="s">
        <v>3352</v>
      </c>
      <c r="R962" s="132" t="s">
        <v>1108</v>
      </c>
    </row>
    <row r="963" spans="1:18" x14ac:dyDescent="0.2">
      <c r="A963" t="s">
        <v>155</v>
      </c>
      <c r="B963" s="141">
        <f t="shared" si="15"/>
        <v>2.64</v>
      </c>
      <c r="C963" s="280">
        <v>45729</v>
      </c>
      <c r="D963" s="279">
        <v>45730</v>
      </c>
      <c r="E963" s="279">
        <v>45730</v>
      </c>
      <c r="F963" s="132"/>
      <c r="G963" s="132" t="s">
        <v>1108</v>
      </c>
      <c r="H963" s="132" t="s">
        <v>373</v>
      </c>
      <c r="I963" s="132" t="s">
        <v>1100</v>
      </c>
      <c r="J963" s="132" t="s">
        <v>3022</v>
      </c>
      <c r="K963" s="132" t="s">
        <v>3023</v>
      </c>
      <c r="L963" s="132" t="s">
        <v>3024</v>
      </c>
      <c r="M963" s="132" t="s">
        <v>3363</v>
      </c>
      <c r="N963" s="132" t="s">
        <v>1117</v>
      </c>
      <c r="O963" s="132" t="s">
        <v>3044</v>
      </c>
      <c r="P963" s="281" t="s">
        <v>3364</v>
      </c>
      <c r="Q963" s="132" t="s">
        <v>3352</v>
      </c>
      <c r="R963" s="132" t="s">
        <v>1108</v>
      </c>
    </row>
    <row r="964" spans="1:18" x14ac:dyDescent="0.2">
      <c r="A964" t="s">
        <v>155</v>
      </c>
      <c r="B964" s="141">
        <f t="shared" si="15"/>
        <v>2.64</v>
      </c>
      <c r="C964" s="280">
        <v>45729</v>
      </c>
      <c r="D964" s="279">
        <v>45730</v>
      </c>
      <c r="E964" s="279">
        <v>45730</v>
      </c>
      <c r="F964" s="132"/>
      <c r="G964" s="132" t="s">
        <v>1813</v>
      </c>
      <c r="H964" s="132" t="s">
        <v>373</v>
      </c>
      <c r="I964" s="132" t="s">
        <v>1100</v>
      </c>
      <c r="J964" s="132" t="s">
        <v>3022</v>
      </c>
      <c r="K964" s="132" t="s">
        <v>3023</v>
      </c>
      <c r="L964" s="132" t="s">
        <v>3024</v>
      </c>
      <c r="M964" s="132" t="s">
        <v>3365</v>
      </c>
      <c r="N964" s="132" t="s">
        <v>1105</v>
      </c>
      <c r="O964" s="132" t="s">
        <v>3044</v>
      </c>
      <c r="P964" s="132" t="s">
        <v>3366</v>
      </c>
      <c r="Q964" s="132" t="s">
        <v>3352</v>
      </c>
      <c r="R964" s="132" t="s">
        <v>1108</v>
      </c>
    </row>
    <row r="965" spans="1:18" x14ac:dyDescent="0.2">
      <c r="A965" t="s">
        <v>156</v>
      </c>
      <c r="B965" s="141">
        <f t="shared" si="15"/>
        <v>4.57</v>
      </c>
      <c r="C965" s="280">
        <v>45729</v>
      </c>
      <c r="D965" s="279">
        <v>45730</v>
      </c>
      <c r="E965" s="279">
        <v>45731</v>
      </c>
      <c r="F965" s="132"/>
      <c r="G965" s="132" t="s">
        <v>1108</v>
      </c>
      <c r="H965" s="132" t="s">
        <v>373</v>
      </c>
      <c r="I965" s="132" t="s">
        <v>1100</v>
      </c>
      <c r="J965" s="132" t="s">
        <v>2671</v>
      </c>
      <c r="K965" s="132" t="s">
        <v>1927</v>
      </c>
      <c r="L965" s="132" t="s">
        <v>2740</v>
      </c>
      <c r="M965" s="132" t="s">
        <v>3367</v>
      </c>
      <c r="N965" s="132" t="s">
        <v>1112</v>
      </c>
      <c r="O965" s="132" t="s">
        <v>3044</v>
      </c>
      <c r="P965" s="132" t="s">
        <v>3368</v>
      </c>
      <c r="Q965" s="132" t="s">
        <v>3369</v>
      </c>
      <c r="R965" s="132" t="s">
        <v>1108</v>
      </c>
    </row>
    <row r="966" spans="1:18" x14ac:dyDescent="0.2">
      <c r="A966" t="s">
        <v>155</v>
      </c>
      <c r="B966" s="141">
        <f t="shared" si="15"/>
        <v>2.62</v>
      </c>
      <c r="C966" s="280">
        <v>45729</v>
      </c>
      <c r="D966" s="279">
        <v>45730</v>
      </c>
      <c r="E966" s="279">
        <v>45731</v>
      </c>
      <c r="F966" s="132"/>
      <c r="G966" s="132" t="s">
        <v>1108</v>
      </c>
      <c r="H966" s="132" t="s">
        <v>373</v>
      </c>
      <c r="I966" s="132" t="s">
        <v>1100</v>
      </c>
      <c r="J966" s="132" t="s">
        <v>3022</v>
      </c>
      <c r="K966" s="132" t="s">
        <v>1742</v>
      </c>
      <c r="L966" s="132" t="s">
        <v>3029</v>
      </c>
      <c r="M966" s="132" t="s">
        <v>3370</v>
      </c>
      <c r="N966" s="132" t="s">
        <v>1112</v>
      </c>
      <c r="O966" s="132" t="s">
        <v>3044</v>
      </c>
      <c r="P966" s="132" t="s">
        <v>3371</v>
      </c>
      <c r="Q966" s="132" t="s">
        <v>3369</v>
      </c>
      <c r="R966" s="132" t="s">
        <v>1108</v>
      </c>
    </row>
    <row r="967" spans="1:18" x14ac:dyDescent="0.2">
      <c r="A967" t="s">
        <v>156</v>
      </c>
      <c r="B967" s="141">
        <f t="shared" si="15"/>
        <v>4.57</v>
      </c>
      <c r="C967" s="280">
        <v>45729</v>
      </c>
      <c r="D967" s="279">
        <v>45730</v>
      </c>
      <c r="E967" s="279">
        <v>45731</v>
      </c>
      <c r="F967" s="132"/>
      <c r="G967" s="132" t="s">
        <v>1108</v>
      </c>
      <c r="H967" s="132" t="s">
        <v>373</v>
      </c>
      <c r="I967" s="132" t="s">
        <v>1100</v>
      </c>
      <c r="J967" s="132" t="s">
        <v>2671</v>
      </c>
      <c r="K967" s="132" t="s">
        <v>1927</v>
      </c>
      <c r="L967" s="132" t="s">
        <v>2740</v>
      </c>
      <c r="M967" s="132" t="s">
        <v>3372</v>
      </c>
      <c r="N967" s="132" t="s">
        <v>1112</v>
      </c>
      <c r="O967" s="132" t="s">
        <v>3044</v>
      </c>
      <c r="P967" s="132" t="s">
        <v>3373</v>
      </c>
      <c r="Q967" s="132" t="s">
        <v>3369</v>
      </c>
      <c r="R967" s="132" t="s">
        <v>1108</v>
      </c>
    </row>
    <row r="968" spans="1:18" x14ac:dyDescent="0.2">
      <c r="A968" t="s">
        <v>206</v>
      </c>
      <c r="B968" s="141">
        <f t="shared" si="15"/>
        <v>1.17</v>
      </c>
      <c r="C968" s="280">
        <v>45729</v>
      </c>
      <c r="D968" s="279">
        <v>45730</v>
      </c>
      <c r="E968" s="279">
        <v>45731</v>
      </c>
      <c r="F968" s="132"/>
      <c r="G968" s="132" t="s">
        <v>1108</v>
      </c>
      <c r="H968" s="132" t="s">
        <v>373</v>
      </c>
      <c r="I968" s="132" t="s">
        <v>1100</v>
      </c>
      <c r="J968" s="132" t="s">
        <v>3303</v>
      </c>
      <c r="K968" s="132" t="s">
        <v>3304</v>
      </c>
      <c r="L968" s="132" t="s">
        <v>3305</v>
      </c>
      <c r="M968" s="132" t="s">
        <v>3374</v>
      </c>
      <c r="N968" s="132" t="s">
        <v>1117</v>
      </c>
      <c r="O968" s="132" t="s">
        <v>3044</v>
      </c>
      <c r="P968" s="132" t="s">
        <v>3375</v>
      </c>
      <c r="Q968" s="132" t="s">
        <v>3369</v>
      </c>
      <c r="R968" s="132" t="s">
        <v>1108</v>
      </c>
    </row>
    <row r="969" spans="1:18" x14ac:dyDescent="0.2">
      <c r="A969" t="s">
        <v>155</v>
      </c>
      <c r="B969" s="141">
        <f t="shared" si="15"/>
        <v>2.64</v>
      </c>
      <c r="C969" s="280">
        <v>45729</v>
      </c>
      <c r="D969" s="279">
        <v>45730</v>
      </c>
      <c r="E969" s="279">
        <v>45731</v>
      </c>
      <c r="F969" s="132"/>
      <c r="G969" s="132" t="s">
        <v>1108</v>
      </c>
      <c r="H969" s="132" t="s">
        <v>373</v>
      </c>
      <c r="I969" s="132" t="s">
        <v>1100</v>
      </c>
      <c r="J969" s="132" t="s">
        <v>3022</v>
      </c>
      <c r="K969" s="132" t="s">
        <v>3023</v>
      </c>
      <c r="L969" s="132" t="s">
        <v>3024</v>
      </c>
      <c r="M969" s="132" t="s">
        <v>3376</v>
      </c>
      <c r="N969" s="132" t="s">
        <v>1117</v>
      </c>
      <c r="O969" s="132" t="s">
        <v>3044</v>
      </c>
      <c r="P969" s="132" t="s">
        <v>3377</v>
      </c>
      <c r="Q969" s="132" t="s">
        <v>3369</v>
      </c>
      <c r="R969" s="132" t="s">
        <v>1108</v>
      </c>
    </row>
    <row r="970" spans="1:18" x14ac:dyDescent="0.2">
      <c r="A970" t="s">
        <v>206</v>
      </c>
      <c r="B970" s="141">
        <f t="shared" si="15"/>
        <v>1.1599999999999999</v>
      </c>
      <c r="C970" s="280">
        <v>45730</v>
      </c>
      <c r="D970" s="279">
        <v>45730</v>
      </c>
      <c r="E970" s="279">
        <v>45731</v>
      </c>
      <c r="F970" s="132"/>
      <c r="G970" s="132" t="s">
        <v>1108</v>
      </c>
      <c r="H970" s="132" t="s">
        <v>373</v>
      </c>
      <c r="I970" s="132" t="s">
        <v>1100</v>
      </c>
      <c r="J970" s="132" t="s">
        <v>3303</v>
      </c>
      <c r="K970" s="132" t="s">
        <v>3311</v>
      </c>
      <c r="L970" s="132" t="s">
        <v>3312</v>
      </c>
      <c r="M970" s="132" t="s">
        <v>3378</v>
      </c>
      <c r="N970" s="132" t="s">
        <v>1112</v>
      </c>
      <c r="O970" s="132" t="s">
        <v>3044</v>
      </c>
      <c r="P970" s="132" t="s">
        <v>3379</v>
      </c>
      <c r="Q970" s="132" t="s">
        <v>3369</v>
      </c>
      <c r="R970" s="132" t="s">
        <v>1108</v>
      </c>
    </row>
    <row r="971" spans="1:18" x14ac:dyDescent="0.2">
      <c r="A971" t="s">
        <v>155</v>
      </c>
      <c r="B971" s="141">
        <f t="shared" si="15"/>
        <v>2.64</v>
      </c>
      <c r="C971" s="280">
        <v>45729</v>
      </c>
      <c r="D971" s="279">
        <v>45732</v>
      </c>
      <c r="E971" s="279">
        <v>45733</v>
      </c>
      <c r="F971" s="132"/>
      <c r="G971" s="132" t="s">
        <v>1108</v>
      </c>
      <c r="H971" s="132" t="s">
        <v>373</v>
      </c>
      <c r="I971" s="132" t="s">
        <v>1100</v>
      </c>
      <c r="J971" s="132" t="s">
        <v>3022</v>
      </c>
      <c r="K971" s="132" t="s">
        <v>3023</v>
      </c>
      <c r="L971" s="132" t="s">
        <v>3024</v>
      </c>
      <c r="M971" s="132" t="s">
        <v>3380</v>
      </c>
      <c r="N971" s="132" t="s">
        <v>1117</v>
      </c>
      <c r="O971" s="132" t="s">
        <v>3044</v>
      </c>
      <c r="P971" s="132" t="s">
        <v>3381</v>
      </c>
      <c r="Q971" s="132" t="s">
        <v>3382</v>
      </c>
      <c r="R971" s="132" t="s">
        <v>1108</v>
      </c>
    </row>
    <row r="972" spans="1:18" x14ac:dyDescent="0.2">
      <c r="A972" t="s">
        <v>206</v>
      </c>
      <c r="B972" s="141">
        <f t="shared" si="15"/>
        <v>1.17</v>
      </c>
      <c r="C972" s="280">
        <v>45731</v>
      </c>
      <c r="D972" s="279">
        <v>45732</v>
      </c>
      <c r="E972" s="279">
        <v>45733</v>
      </c>
      <c r="F972" s="132"/>
      <c r="G972" s="132" t="s">
        <v>1108</v>
      </c>
      <c r="H972" s="132" t="s">
        <v>373</v>
      </c>
      <c r="I972" s="132" t="s">
        <v>1100</v>
      </c>
      <c r="J972" s="132" t="s">
        <v>3303</v>
      </c>
      <c r="K972" s="132" t="s">
        <v>3304</v>
      </c>
      <c r="L972" s="132" t="s">
        <v>3305</v>
      </c>
      <c r="M972" s="132" t="s">
        <v>3383</v>
      </c>
      <c r="N972" s="132" t="s">
        <v>1117</v>
      </c>
      <c r="O972" s="132" t="s">
        <v>3044</v>
      </c>
      <c r="P972" s="132" t="s">
        <v>3384</v>
      </c>
      <c r="Q972" s="132" t="s">
        <v>3382</v>
      </c>
      <c r="R972" s="132" t="s">
        <v>1108</v>
      </c>
    </row>
    <row r="973" spans="1:18" x14ac:dyDescent="0.2">
      <c r="A973" t="s">
        <v>206</v>
      </c>
      <c r="B973" s="141">
        <f t="shared" si="15"/>
        <v>1.17</v>
      </c>
      <c r="C973" s="280">
        <v>45732</v>
      </c>
      <c r="D973" s="279">
        <v>45733</v>
      </c>
      <c r="E973" s="279">
        <v>45734</v>
      </c>
      <c r="F973" s="132"/>
      <c r="G973" s="132" t="s">
        <v>1108</v>
      </c>
      <c r="H973" s="132" t="s">
        <v>373</v>
      </c>
      <c r="I973" s="132" t="s">
        <v>1100</v>
      </c>
      <c r="J973" s="132" t="s">
        <v>3303</v>
      </c>
      <c r="K973" s="132" t="s">
        <v>3304</v>
      </c>
      <c r="L973" s="132" t="s">
        <v>3305</v>
      </c>
      <c r="M973" s="281" t="s">
        <v>3385</v>
      </c>
      <c r="N973" s="132" t="s">
        <v>1117</v>
      </c>
      <c r="O973" s="132" t="s">
        <v>3044</v>
      </c>
      <c r="P973" s="132" t="s">
        <v>3386</v>
      </c>
      <c r="Q973" s="132" t="s">
        <v>3387</v>
      </c>
      <c r="R973" s="132" t="s">
        <v>1108</v>
      </c>
    </row>
    <row r="974" spans="1:18" x14ac:dyDescent="0.2">
      <c r="A974" t="s">
        <v>207</v>
      </c>
      <c r="B974" s="141">
        <f t="shared" si="15"/>
        <v>2.62</v>
      </c>
      <c r="C974" s="280">
        <v>45733</v>
      </c>
      <c r="D974" s="279">
        <v>45733</v>
      </c>
      <c r="E974" s="279">
        <v>45734</v>
      </c>
      <c r="F974" s="132"/>
      <c r="G974" s="132" t="s">
        <v>1108</v>
      </c>
      <c r="H974" s="132" t="s">
        <v>373</v>
      </c>
      <c r="I974" s="132" t="s">
        <v>1100</v>
      </c>
      <c r="J974" s="132" t="s">
        <v>3022</v>
      </c>
      <c r="K974" s="132" t="s">
        <v>1742</v>
      </c>
      <c r="L974" s="132" t="s">
        <v>3029</v>
      </c>
      <c r="M974" s="281" t="s">
        <v>3388</v>
      </c>
      <c r="N974" s="132" t="s">
        <v>1112</v>
      </c>
      <c r="O974" s="132" t="s">
        <v>3044</v>
      </c>
      <c r="P974" s="132" t="s">
        <v>3389</v>
      </c>
      <c r="Q974" s="132" t="s">
        <v>3387</v>
      </c>
      <c r="R974" s="132" t="s">
        <v>1108</v>
      </c>
    </row>
    <row r="975" spans="1:18" x14ac:dyDescent="0.2">
      <c r="A975" t="s">
        <v>278</v>
      </c>
      <c r="B975" s="141">
        <f t="shared" si="15"/>
        <v>5.55</v>
      </c>
      <c r="C975" s="280">
        <v>45745</v>
      </c>
      <c r="D975" s="279">
        <v>45752</v>
      </c>
      <c r="E975" s="279">
        <v>45752</v>
      </c>
      <c r="F975" s="132"/>
      <c r="G975" s="132" t="s">
        <v>1108</v>
      </c>
      <c r="H975" s="132" t="s">
        <v>373</v>
      </c>
      <c r="I975" s="132" t="s">
        <v>1100</v>
      </c>
      <c r="J975" s="132" t="s">
        <v>1926</v>
      </c>
      <c r="K975" s="132" t="s">
        <v>2042</v>
      </c>
      <c r="L975" s="132" t="s">
        <v>2834</v>
      </c>
      <c r="M975" s="132" t="s">
        <v>3390</v>
      </c>
      <c r="N975" s="132" t="s">
        <v>1112</v>
      </c>
      <c r="O975" s="132" t="s">
        <v>3391</v>
      </c>
      <c r="P975" s="132" t="s">
        <v>3392</v>
      </c>
      <c r="Q975" s="132" t="s">
        <v>3393</v>
      </c>
      <c r="R975" s="132" t="s">
        <v>1108</v>
      </c>
    </row>
    <row r="976" spans="1:18" x14ac:dyDescent="0.2">
      <c r="A976" t="s">
        <v>278</v>
      </c>
      <c r="B976" s="141">
        <f t="shared" si="15"/>
        <v>5.55</v>
      </c>
      <c r="C976" s="280">
        <v>45746</v>
      </c>
      <c r="D976" s="279">
        <v>45752</v>
      </c>
      <c r="E976" s="279">
        <v>45752</v>
      </c>
      <c r="F976" s="132"/>
      <c r="G976" s="132" t="s">
        <v>1108</v>
      </c>
      <c r="H976" s="132" t="s">
        <v>373</v>
      </c>
      <c r="I976" s="132" t="s">
        <v>1100</v>
      </c>
      <c r="J976" s="132" t="s">
        <v>1926</v>
      </c>
      <c r="K976" s="132" t="s">
        <v>2042</v>
      </c>
      <c r="L976" s="132" t="s">
        <v>2834</v>
      </c>
      <c r="M976" s="132" t="s">
        <v>3394</v>
      </c>
      <c r="N976" s="132" t="s">
        <v>1112</v>
      </c>
      <c r="O976" s="132" t="s">
        <v>3391</v>
      </c>
      <c r="P976" s="132" t="s">
        <v>3395</v>
      </c>
      <c r="Q976" s="132" t="s">
        <v>3393</v>
      </c>
      <c r="R976" s="132" t="s">
        <v>1108</v>
      </c>
    </row>
    <row r="977" spans="1:18" x14ac:dyDescent="0.2">
      <c r="A977" t="s">
        <v>278</v>
      </c>
      <c r="B977" s="141">
        <f t="shared" si="15"/>
        <v>5.59</v>
      </c>
      <c r="C977" s="280">
        <v>45746</v>
      </c>
      <c r="D977" s="279">
        <v>45753</v>
      </c>
      <c r="E977" s="279">
        <v>45753</v>
      </c>
      <c r="F977" s="132"/>
      <c r="G977" s="132" t="s">
        <v>1383</v>
      </c>
      <c r="H977" s="132" t="s">
        <v>373</v>
      </c>
      <c r="I977" s="132" t="s">
        <v>1100</v>
      </c>
      <c r="J977" s="132" t="s">
        <v>1926</v>
      </c>
      <c r="K977" s="132" t="s">
        <v>1927</v>
      </c>
      <c r="L977" s="132" t="s">
        <v>1928</v>
      </c>
      <c r="M977" s="132" t="s">
        <v>3396</v>
      </c>
      <c r="N977" s="132" t="s">
        <v>1105</v>
      </c>
      <c r="O977" s="132" t="s">
        <v>3391</v>
      </c>
      <c r="P977" s="132" t="s">
        <v>3397</v>
      </c>
      <c r="Q977" s="132" t="s">
        <v>3398</v>
      </c>
      <c r="R977" s="132" t="s">
        <v>1108</v>
      </c>
    </row>
    <row r="978" spans="1:18" x14ac:dyDescent="0.2">
      <c r="A978" t="s">
        <v>311</v>
      </c>
      <c r="B978" s="141">
        <f t="shared" si="15"/>
        <v>14.32</v>
      </c>
      <c r="C978" s="280">
        <v>45747</v>
      </c>
      <c r="D978" s="279">
        <v>45754</v>
      </c>
      <c r="E978" s="279">
        <v>45754</v>
      </c>
      <c r="F978" s="132"/>
      <c r="G978" s="132" t="s">
        <v>1108</v>
      </c>
      <c r="H978" s="132" t="s">
        <v>373</v>
      </c>
      <c r="I978" s="132" t="s">
        <v>1100</v>
      </c>
      <c r="J978" s="132" t="s">
        <v>3399</v>
      </c>
      <c r="K978" s="132" t="s">
        <v>3400</v>
      </c>
      <c r="L978" s="132" t="s">
        <v>1190</v>
      </c>
      <c r="M978" s="132" t="s">
        <v>3401</v>
      </c>
      <c r="N978" s="132" t="s">
        <v>1112</v>
      </c>
      <c r="O978" s="132" t="s">
        <v>3391</v>
      </c>
      <c r="P978" s="132" t="s">
        <v>3402</v>
      </c>
      <c r="Q978" s="132" t="s">
        <v>3403</v>
      </c>
      <c r="R978" s="132" t="s">
        <v>1108</v>
      </c>
    </row>
    <row r="979" spans="1:18" x14ac:dyDescent="0.2">
      <c r="A979" t="s">
        <v>278</v>
      </c>
      <c r="B979" s="141">
        <f t="shared" si="15"/>
        <v>5.55</v>
      </c>
      <c r="C979" s="280">
        <v>45747</v>
      </c>
      <c r="D979" s="279">
        <v>45754</v>
      </c>
      <c r="E979" s="279">
        <v>45754</v>
      </c>
      <c r="F979" s="132"/>
      <c r="G979" s="132" t="s">
        <v>1108</v>
      </c>
      <c r="H979" s="132" t="s">
        <v>373</v>
      </c>
      <c r="I979" s="132" t="s">
        <v>1100</v>
      </c>
      <c r="J979" s="132" t="s">
        <v>1926</v>
      </c>
      <c r="K979" s="132" t="s">
        <v>2042</v>
      </c>
      <c r="L979" s="132" t="s">
        <v>2834</v>
      </c>
      <c r="M979" s="132" t="s">
        <v>3404</v>
      </c>
      <c r="N979" s="132" t="s">
        <v>1112</v>
      </c>
      <c r="O979" s="132" t="s">
        <v>3391</v>
      </c>
      <c r="P979" s="132" t="s">
        <v>3405</v>
      </c>
      <c r="Q979" s="132" t="s">
        <v>3403</v>
      </c>
      <c r="R979" s="132" t="s">
        <v>1108</v>
      </c>
    </row>
    <row r="980" spans="1:18" x14ac:dyDescent="0.2">
      <c r="A980" t="s">
        <v>311</v>
      </c>
      <c r="B980" s="141">
        <f t="shared" si="15"/>
        <v>14.32</v>
      </c>
      <c r="C980" s="280">
        <v>45747</v>
      </c>
      <c r="D980" s="279">
        <v>45754</v>
      </c>
      <c r="E980" s="279">
        <v>45754</v>
      </c>
      <c r="F980" s="132"/>
      <c r="G980" s="132" t="s">
        <v>1108</v>
      </c>
      <c r="H980" s="132" t="s">
        <v>373</v>
      </c>
      <c r="I980" s="132" t="s">
        <v>1100</v>
      </c>
      <c r="J980" s="132" t="s">
        <v>3399</v>
      </c>
      <c r="K980" s="132" t="s">
        <v>3400</v>
      </c>
      <c r="L980" s="132" t="s">
        <v>1190</v>
      </c>
      <c r="M980" s="132" t="s">
        <v>3406</v>
      </c>
      <c r="N980" s="132" t="s">
        <v>1112</v>
      </c>
      <c r="O980" s="132" t="s">
        <v>3391</v>
      </c>
      <c r="P980" s="132" t="s">
        <v>3407</v>
      </c>
      <c r="Q980" s="132" t="s">
        <v>3403</v>
      </c>
      <c r="R980" s="132" t="s">
        <v>1108</v>
      </c>
    </row>
    <row r="981" spans="1:18" x14ac:dyDescent="0.2">
      <c r="A981" t="s">
        <v>311</v>
      </c>
      <c r="B981" s="141">
        <f t="shared" si="15"/>
        <v>14.41</v>
      </c>
      <c r="C981" s="280">
        <v>45749</v>
      </c>
      <c r="D981" s="279">
        <v>45754</v>
      </c>
      <c r="E981" s="279">
        <v>45754</v>
      </c>
      <c r="F981" s="132"/>
      <c r="G981" s="132" t="s">
        <v>1108</v>
      </c>
      <c r="H981" s="132" t="s">
        <v>373</v>
      </c>
      <c r="I981" s="132" t="s">
        <v>1100</v>
      </c>
      <c r="J981" s="132" t="s">
        <v>3399</v>
      </c>
      <c r="K981" s="132" t="s">
        <v>3408</v>
      </c>
      <c r="L981" s="132" t="s">
        <v>1314</v>
      </c>
      <c r="M981" s="132" t="s">
        <v>3409</v>
      </c>
      <c r="N981" s="132" t="s">
        <v>1117</v>
      </c>
      <c r="O981" s="132" t="s">
        <v>3391</v>
      </c>
      <c r="P981" s="132" t="s">
        <v>3410</v>
      </c>
      <c r="Q981" s="132" t="s">
        <v>3403</v>
      </c>
      <c r="R981" s="132" t="s">
        <v>1108</v>
      </c>
    </row>
    <row r="982" spans="1:18" x14ac:dyDescent="0.2">
      <c r="A982" t="s">
        <v>278</v>
      </c>
      <c r="B982" s="141">
        <f t="shared" si="15"/>
        <v>5.59</v>
      </c>
      <c r="C982" s="280">
        <v>45750</v>
      </c>
      <c r="D982" s="279">
        <v>45754</v>
      </c>
      <c r="E982" s="279">
        <v>45754</v>
      </c>
      <c r="F982" s="132"/>
      <c r="G982" s="132" t="s">
        <v>1108</v>
      </c>
      <c r="H982" s="132" t="s">
        <v>373</v>
      </c>
      <c r="I982" s="132" t="s">
        <v>1100</v>
      </c>
      <c r="J982" s="132" t="s">
        <v>1926</v>
      </c>
      <c r="K982" s="132" t="s">
        <v>1927</v>
      </c>
      <c r="L982" s="132" t="s">
        <v>1928</v>
      </c>
      <c r="M982" s="132" t="s">
        <v>3411</v>
      </c>
      <c r="N982" s="132" t="s">
        <v>1117</v>
      </c>
      <c r="O982" s="132" t="s">
        <v>3391</v>
      </c>
      <c r="P982" s="132" t="s">
        <v>3412</v>
      </c>
      <c r="Q982" s="132" t="s">
        <v>3403</v>
      </c>
      <c r="R982" s="132" t="s">
        <v>1108</v>
      </c>
    </row>
    <row r="983" spans="1:18" x14ac:dyDescent="0.2">
      <c r="A983" t="s">
        <v>311</v>
      </c>
      <c r="B983" s="141">
        <f t="shared" si="15"/>
        <v>14.32</v>
      </c>
      <c r="C983" s="280">
        <v>45750</v>
      </c>
      <c r="D983" s="279">
        <v>45754</v>
      </c>
      <c r="E983" s="279">
        <v>45754</v>
      </c>
      <c r="F983" s="132"/>
      <c r="G983" s="132" t="s">
        <v>1108</v>
      </c>
      <c r="H983" s="132" t="s">
        <v>373</v>
      </c>
      <c r="I983" s="132" t="s">
        <v>1100</v>
      </c>
      <c r="J983" s="132" t="s">
        <v>3399</v>
      </c>
      <c r="K983" s="132" t="s">
        <v>3400</v>
      </c>
      <c r="L983" s="132" t="s">
        <v>1190</v>
      </c>
      <c r="M983" s="132" t="s">
        <v>3413</v>
      </c>
      <c r="N983" s="132" t="s">
        <v>1112</v>
      </c>
      <c r="O983" s="132" t="s">
        <v>3391</v>
      </c>
      <c r="P983" s="132" t="s">
        <v>3414</v>
      </c>
      <c r="Q983" s="132" t="s">
        <v>3403</v>
      </c>
      <c r="R983" s="132" t="s">
        <v>1108</v>
      </c>
    </row>
    <row r="984" spans="1:18" x14ac:dyDescent="0.2">
      <c r="A984" t="s">
        <v>278</v>
      </c>
      <c r="B984" s="141">
        <f t="shared" si="15"/>
        <v>5.59</v>
      </c>
      <c r="C984" s="280">
        <v>45748</v>
      </c>
      <c r="D984" s="279">
        <v>45755</v>
      </c>
      <c r="E984" s="279">
        <v>45755</v>
      </c>
      <c r="F984" s="132"/>
      <c r="G984" s="132" t="s">
        <v>1357</v>
      </c>
      <c r="H984" s="132" t="s">
        <v>373</v>
      </c>
      <c r="I984" s="132" t="s">
        <v>1100</v>
      </c>
      <c r="J984" s="132" t="s">
        <v>1926</v>
      </c>
      <c r="K984" s="132" t="s">
        <v>1927</v>
      </c>
      <c r="L984" s="132" t="s">
        <v>1928</v>
      </c>
      <c r="M984" s="132" t="s">
        <v>3415</v>
      </c>
      <c r="N984" s="132" t="s">
        <v>1105</v>
      </c>
      <c r="O984" s="132" t="s">
        <v>3391</v>
      </c>
      <c r="P984" s="132" t="s">
        <v>3416</v>
      </c>
      <c r="Q984" s="132" t="s">
        <v>3417</v>
      </c>
      <c r="R984" s="132" t="s">
        <v>1108</v>
      </c>
    </row>
    <row r="985" spans="1:18" x14ac:dyDescent="0.2">
      <c r="A985" t="s">
        <v>278</v>
      </c>
      <c r="B985" s="141">
        <f t="shared" si="15"/>
        <v>5.59</v>
      </c>
      <c r="C985" s="280">
        <v>45748</v>
      </c>
      <c r="D985" s="279">
        <v>45755</v>
      </c>
      <c r="E985" s="279">
        <v>45755</v>
      </c>
      <c r="F985" s="132"/>
      <c r="G985" s="132" t="s">
        <v>1108</v>
      </c>
      <c r="H985" s="132" t="s">
        <v>373</v>
      </c>
      <c r="I985" s="132" t="s">
        <v>1100</v>
      </c>
      <c r="J985" s="132" t="s">
        <v>1926</v>
      </c>
      <c r="K985" s="132" t="s">
        <v>1927</v>
      </c>
      <c r="L985" s="132" t="s">
        <v>1928</v>
      </c>
      <c r="M985" s="132" t="s">
        <v>3418</v>
      </c>
      <c r="N985" s="132" t="s">
        <v>1117</v>
      </c>
      <c r="O985" s="132" t="s">
        <v>3391</v>
      </c>
      <c r="P985" s="132" t="s">
        <v>3419</v>
      </c>
      <c r="Q985" s="132" t="s">
        <v>3417</v>
      </c>
      <c r="R985" s="132" t="s">
        <v>1108</v>
      </c>
    </row>
    <row r="986" spans="1:18" x14ac:dyDescent="0.2">
      <c r="A986" t="s">
        <v>278</v>
      </c>
      <c r="B986" s="141">
        <f t="shared" si="15"/>
        <v>5.55</v>
      </c>
      <c r="C986" s="280">
        <v>45748</v>
      </c>
      <c r="D986" s="279">
        <v>45755</v>
      </c>
      <c r="E986" s="279">
        <v>45755</v>
      </c>
      <c r="F986" s="132"/>
      <c r="G986" s="132" t="s">
        <v>1108</v>
      </c>
      <c r="H986" s="132" t="s">
        <v>373</v>
      </c>
      <c r="I986" s="132" t="s">
        <v>1100</v>
      </c>
      <c r="J986" s="132" t="s">
        <v>1926</v>
      </c>
      <c r="K986" s="132" t="s">
        <v>2042</v>
      </c>
      <c r="L986" s="132" t="s">
        <v>2834</v>
      </c>
      <c r="M986" s="132" t="s">
        <v>3420</v>
      </c>
      <c r="N986" s="132" t="s">
        <v>1112</v>
      </c>
      <c r="O986" s="132" t="s">
        <v>3391</v>
      </c>
      <c r="P986" s="132" t="s">
        <v>3421</v>
      </c>
      <c r="Q986" s="132" t="s">
        <v>3417</v>
      </c>
      <c r="R986" s="132" t="s">
        <v>1108</v>
      </c>
    </row>
    <row r="987" spans="1:18" x14ac:dyDescent="0.2">
      <c r="A987" t="s">
        <v>278</v>
      </c>
      <c r="B987" s="141">
        <f t="shared" si="15"/>
        <v>5.55</v>
      </c>
      <c r="C987" s="280">
        <v>45748</v>
      </c>
      <c r="D987" s="279">
        <v>45755</v>
      </c>
      <c r="E987" s="279">
        <v>45755</v>
      </c>
      <c r="F987" s="132"/>
      <c r="G987" s="132" t="s">
        <v>1108</v>
      </c>
      <c r="H987" s="132" t="s">
        <v>373</v>
      </c>
      <c r="I987" s="132" t="s">
        <v>1100</v>
      </c>
      <c r="J987" s="132" t="s">
        <v>1926</v>
      </c>
      <c r="K987" s="132" t="s">
        <v>2042</v>
      </c>
      <c r="L987" s="132" t="s">
        <v>2834</v>
      </c>
      <c r="M987" s="132" t="s">
        <v>3422</v>
      </c>
      <c r="N987" s="132" t="s">
        <v>1112</v>
      </c>
      <c r="O987" s="132" t="s">
        <v>3391</v>
      </c>
      <c r="P987" s="132" t="s">
        <v>3423</v>
      </c>
      <c r="Q987" s="132" t="s">
        <v>3417</v>
      </c>
      <c r="R987" s="132" t="s">
        <v>1108</v>
      </c>
    </row>
    <row r="988" spans="1:18" x14ac:dyDescent="0.2">
      <c r="A988" t="s">
        <v>278</v>
      </c>
      <c r="B988" s="141">
        <f t="shared" si="15"/>
        <v>5.55</v>
      </c>
      <c r="C988" s="280">
        <v>45748</v>
      </c>
      <c r="D988" s="279">
        <v>45755</v>
      </c>
      <c r="E988" s="279">
        <v>45755</v>
      </c>
      <c r="F988" s="132"/>
      <c r="G988" s="132" t="s">
        <v>1108</v>
      </c>
      <c r="H988" s="132" t="s">
        <v>373</v>
      </c>
      <c r="I988" s="132" t="s">
        <v>1100</v>
      </c>
      <c r="J988" s="132" t="s">
        <v>1926</v>
      </c>
      <c r="K988" s="132" t="s">
        <v>2042</v>
      </c>
      <c r="L988" s="132" t="s">
        <v>2834</v>
      </c>
      <c r="M988" s="132" t="s">
        <v>3424</v>
      </c>
      <c r="N988" s="132" t="s">
        <v>1112</v>
      </c>
      <c r="O988" s="132" t="s">
        <v>3391</v>
      </c>
      <c r="P988" s="132" t="s">
        <v>3425</v>
      </c>
      <c r="Q988" s="132" t="s">
        <v>3417</v>
      </c>
      <c r="R988" s="132" t="s">
        <v>1108</v>
      </c>
    </row>
    <row r="989" spans="1:18" x14ac:dyDescent="0.2">
      <c r="A989" t="s">
        <v>278</v>
      </c>
      <c r="B989" s="141">
        <f t="shared" si="15"/>
        <v>5.59</v>
      </c>
      <c r="C989" s="280">
        <v>45748</v>
      </c>
      <c r="D989" s="279">
        <v>45755</v>
      </c>
      <c r="E989" s="279">
        <v>45755</v>
      </c>
      <c r="F989" s="132"/>
      <c r="G989" s="132" t="s">
        <v>1837</v>
      </c>
      <c r="H989" s="132" t="s">
        <v>373</v>
      </c>
      <c r="I989" s="132" t="s">
        <v>1100</v>
      </c>
      <c r="J989" s="132" t="s">
        <v>1926</v>
      </c>
      <c r="K989" s="132" t="s">
        <v>1927</v>
      </c>
      <c r="L989" s="132" t="s">
        <v>1928</v>
      </c>
      <c r="M989" s="132" t="s">
        <v>3426</v>
      </c>
      <c r="N989" s="132" t="s">
        <v>1105</v>
      </c>
      <c r="O989" s="132" t="s">
        <v>3391</v>
      </c>
      <c r="P989" s="132" t="s">
        <v>3427</v>
      </c>
      <c r="Q989" s="132" t="s">
        <v>3417</v>
      </c>
      <c r="R989" s="132" t="s">
        <v>1108</v>
      </c>
    </row>
    <row r="990" spans="1:18" x14ac:dyDescent="0.2">
      <c r="A990" t="s">
        <v>278</v>
      </c>
      <c r="B990" s="141">
        <f t="shared" si="15"/>
        <v>5.59</v>
      </c>
      <c r="C990" s="280">
        <v>45748</v>
      </c>
      <c r="D990" s="279">
        <v>45755</v>
      </c>
      <c r="E990" s="279">
        <v>45755</v>
      </c>
      <c r="F990" s="132"/>
      <c r="G990" s="132" t="s">
        <v>1588</v>
      </c>
      <c r="H990" s="132" t="s">
        <v>373</v>
      </c>
      <c r="I990" s="132" t="s">
        <v>1100</v>
      </c>
      <c r="J990" s="132" t="s">
        <v>1926</v>
      </c>
      <c r="K990" s="132" t="s">
        <v>1927</v>
      </c>
      <c r="L990" s="132" t="s">
        <v>1928</v>
      </c>
      <c r="M990" s="132" t="s">
        <v>3428</v>
      </c>
      <c r="N990" s="132" t="s">
        <v>1105</v>
      </c>
      <c r="O990" s="132" t="s">
        <v>3391</v>
      </c>
      <c r="P990" s="132" t="s">
        <v>3429</v>
      </c>
      <c r="Q990" s="132" t="s">
        <v>3417</v>
      </c>
      <c r="R990" s="132" t="s">
        <v>1108</v>
      </c>
    </row>
    <row r="991" spans="1:18" x14ac:dyDescent="0.2">
      <c r="A991" t="s">
        <v>311</v>
      </c>
      <c r="B991" s="141">
        <f t="shared" si="15"/>
        <v>24.07</v>
      </c>
      <c r="C991" s="280">
        <v>45748</v>
      </c>
      <c r="D991" s="279">
        <v>45755</v>
      </c>
      <c r="E991" s="279">
        <v>45755</v>
      </c>
      <c r="F991" s="132"/>
      <c r="G991" s="132" t="s">
        <v>1108</v>
      </c>
      <c r="H991" s="132" t="s">
        <v>373</v>
      </c>
      <c r="I991" s="132" t="s">
        <v>1100</v>
      </c>
      <c r="J991" s="132" t="s">
        <v>3430</v>
      </c>
      <c r="K991" s="132" t="s">
        <v>3431</v>
      </c>
      <c r="L991" s="132" t="s">
        <v>3432</v>
      </c>
      <c r="M991" s="132" t="s">
        <v>3433</v>
      </c>
      <c r="N991" s="132" t="s">
        <v>1112</v>
      </c>
      <c r="O991" s="132" t="s">
        <v>3391</v>
      </c>
      <c r="P991" s="281" t="s">
        <v>3434</v>
      </c>
      <c r="Q991" s="132" t="s">
        <v>3417</v>
      </c>
      <c r="R991" s="132" t="s">
        <v>1108</v>
      </c>
    </row>
    <row r="992" spans="1:18" x14ac:dyDescent="0.2">
      <c r="A992" t="s">
        <v>311</v>
      </c>
      <c r="B992" s="141">
        <f t="shared" si="15"/>
        <v>14.32</v>
      </c>
      <c r="C992" s="280">
        <v>45748</v>
      </c>
      <c r="D992" s="279">
        <v>45755</v>
      </c>
      <c r="E992" s="279">
        <v>45755</v>
      </c>
      <c r="F992" s="132"/>
      <c r="G992" s="132" t="s">
        <v>1108</v>
      </c>
      <c r="H992" s="132" t="s">
        <v>373</v>
      </c>
      <c r="I992" s="132" t="s">
        <v>1100</v>
      </c>
      <c r="J992" s="132" t="s">
        <v>3399</v>
      </c>
      <c r="K992" s="132" t="s">
        <v>3400</v>
      </c>
      <c r="L992" s="132" t="s">
        <v>1190</v>
      </c>
      <c r="M992" s="132" t="s">
        <v>3435</v>
      </c>
      <c r="N992" s="132" t="s">
        <v>1112</v>
      </c>
      <c r="O992" s="132" t="s">
        <v>3391</v>
      </c>
      <c r="P992" s="281" t="s">
        <v>3436</v>
      </c>
      <c r="Q992" s="132" t="s">
        <v>3417</v>
      </c>
      <c r="R992" s="132" t="s">
        <v>1108</v>
      </c>
    </row>
    <row r="993" spans="1:18" x14ac:dyDescent="0.2">
      <c r="A993" t="s">
        <v>311</v>
      </c>
      <c r="B993" s="141">
        <f t="shared" si="15"/>
        <v>14.32</v>
      </c>
      <c r="C993" s="280">
        <v>45748</v>
      </c>
      <c r="D993" s="279">
        <v>45755</v>
      </c>
      <c r="E993" s="279">
        <v>45755</v>
      </c>
      <c r="F993" s="132"/>
      <c r="G993" s="132" t="s">
        <v>1108</v>
      </c>
      <c r="H993" s="132" t="s">
        <v>373</v>
      </c>
      <c r="I993" s="132" t="s">
        <v>1100</v>
      </c>
      <c r="J993" s="132" t="s">
        <v>3399</v>
      </c>
      <c r="K993" s="132" t="s">
        <v>3400</v>
      </c>
      <c r="L993" s="132" t="s">
        <v>1190</v>
      </c>
      <c r="M993" s="132" t="s">
        <v>3437</v>
      </c>
      <c r="N993" s="132" t="s">
        <v>1112</v>
      </c>
      <c r="O993" s="132" t="s">
        <v>3391</v>
      </c>
      <c r="P993" s="132" t="s">
        <v>3438</v>
      </c>
      <c r="Q993" s="132" t="s">
        <v>3417</v>
      </c>
      <c r="R993" s="132" t="s">
        <v>1108</v>
      </c>
    </row>
    <row r="994" spans="1:18" x14ac:dyDescent="0.2">
      <c r="A994" t="s">
        <v>278</v>
      </c>
      <c r="B994" s="141">
        <f t="shared" si="15"/>
        <v>5.59</v>
      </c>
      <c r="C994" s="280">
        <v>45748</v>
      </c>
      <c r="D994" s="279">
        <v>45755</v>
      </c>
      <c r="E994" s="279">
        <v>45755</v>
      </c>
      <c r="F994" s="132"/>
      <c r="G994" s="132" t="s">
        <v>1239</v>
      </c>
      <c r="H994" s="132" t="s">
        <v>373</v>
      </c>
      <c r="I994" s="132" t="s">
        <v>1100</v>
      </c>
      <c r="J994" s="132" t="s">
        <v>1926</v>
      </c>
      <c r="K994" s="132" t="s">
        <v>1927</v>
      </c>
      <c r="L994" s="132" t="s">
        <v>1928</v>
      </c>
      <c r="M994" s="132" t="s">
        <v>3439</v>
      </c>
      <c r="N994" s="132" t="s">
        <v>1105</v>
      </c>
      <c r="O994" s="132" t="s">
        <v>3391</v>
      </c>
      <c r="P994" s="132" t="s">
        <v>3440</v>
      </c>
      <c r="Q994" s="132" t="s">
        <v>3417</v>
      </c>
      <c r="R994" s="132" t="s">
        <v>1108</v>
      </c>
    </row>
    <row r="995" spans="1:18" x14ac:dyDescent="0.2">
      <c r="A995" t="s">
        <v>279</v>
      </c>
      <c r="B995" s="141">
        <f t="shared" si="15"/>
        <v>7.5</v>
      </c>
      <c r="C995" s="280">
        <v>45748</v>
      </c>
      <c r="D995" s="279">
        <v>45755</v>
      </c>
      <c r="E995" s="279">
        <v>45755</v>
      </c>
      <c r="F995" s="132"/>
      <c r="G995" s="132" t="s">
        <v>1108</v>
      </c>
      <c r="H995" s="132" t="s">
        <v>373</v>
      </c>
      <c r="I995" s="132" t="s">
        <v>1100</v>
      </c>
      <c r="J995" s="132" t="s">
        <v>1949</v>
      </c>
      <c r="K995" s="132" t="s">
        <v>2170</v>
      </c>
      <c r="L995" s="132" t="s">
        <v>3057</v>
      </c>
      <c r="M995" s="132" t="s">
        <v>3441</v>
      </c>
      <c r="N995" s="132" t="s">
        <v>1112</v>
      </c>
      <c r="O995" s="132" t="s">
        <v>3391</v>
      </c>
      <c r="P995" s="132" t="s">
        <v>3442</v>
      </c>
      <c r="Q995" s="132" t="s">
        <v>3417</v>
      </c>
      <c r="R995" s="132" t="s">
        <v>1108</v>
      </c>
    </row>
    <row r="996" spans="1:18" x14ac:dyDescent="0.2">
      <c r="A996" t="s">
        <v>278</v>
      </c>
      <c r="B996" s="141">
        <f t="shared" si="15"/>
        <v>5.59</v>
      </c>
      <c r="C996" s="280">
        <v>45748</v>
      </c>
      <c r="D996" s="279">
        <v>45755</v>
      </c>
      <c r="E996" s="279">
        <v>45755</v>
      </c>
      <c r="F996" s="132"/>
      <c r="G996" s="132" t="s">
        <v>1378</v>
      </c>
      <c r="H996" s="132" t="s">
        <v>373</v>
      </c>
      <c r="I996" s="132" t="s">
        <v>1100</v>
      </c>
      <c r="J996" s="132" t="s">
        <v>1926</v>
      </c>
      <c r="K996" s="132" t="s">
        <v>1927</v>
      </c>
      <c r="L996" s="132" t="s">
        <v>1928</v>
      </c>
      <c r="M996" s="132" t="s">
        <v>3443</v>
      </c>
      <c r="N996" s="132" t="s">
        <v>1105</v>
      </c>
      <c r="O996" s="132" t="s">
        <v>3391</v>
      </c>
      <c r="P996" s="132" t="s">
        <v>3444</v>
      </c>
      <c r="Q996" s="132" t="s">
        <v>3417</v>
      </c>
      <c r="R996" s="132" t="s">
        <v>1108</v>
      </c>
    </row>
    <row r="997" spans="1:18" x14ac:dyDescent="0.2">
      <c r="A997" t="s">
        <v>311</v>
      </c>
      <c r="B997" s="141">
        <f t="shared" si="15"/>
        <v>14.32</v>
      </c>
      <c r="C997" s="280">
        <v>45750</v>
      </c>
      <c r="D997" s="279">
        <v>45755</v>
      </c>
      <c r="E997" s="279">
        <v>45755</v>
      </c>
      <c r="F997" s="132"/>
      <c r="G997" s="132" t="s">
        <v>1108</v>
      </c>
      <c r="H997" s="132" t="s">
        <v>373</v>
      </c>
      <c r="I997" s="132" t="s">
        <v>1100</v>
      </c>
      <c r="J997" s="132" t="s">
        <v>3399</v>
      </c>
      <c r="K997" s="132" t="s">
        <v>3400</v>
      </c>
      <c r="L997" s="132" t="s">
        <v>1190</v>
      </c>
      <c r="M997" s="132" t="s">
        <v>3445</v>
      </c>
      <c r="N997" s="132" t="s">
        <v>1112</v>
      </c>
      <c r="O997" s="132" t="s">
        <v>3391</v>
      </c>
      <c r="P997" s="132" t="s">
        <v>3446</v>
      </c>
      <c r="Q997" s="132" t="s">
        <v>3417</v>
      </c>
      <c r="R997" s="132" t="s">
        <v>1108</v>
      </c>
    </row>
    <row r="998" spans="1:18" x14ac:dyDescent="0.2">
      <c r="A998" t="s">
        <v>311</v>
      </c>
      <c r="B998" s="141">
        <f t="shared" si="15"/>
        <v>14.32</v>
      </c>
      <c r="C998" s="280">
        <v>45750</v>
      </c>
      <c r="D998" s="279">
        <v>45755</v>
      </c>
      <c r="E998" s="279">
        <v>45755</v>
      </c>
      <c r="F998" s="132"/>
      <c r="G998" s="132" t="s">
        <v>1108</v>
      </c>
      <c r="H998" s="132" t="s">
        <v>373</v>
      </c>
      <c r="I998" s="132" t="s">
        <v>1100</v>
      </c>
      <c r="J998" s="132" t="s">
        <v>3399</v>
      </c>
      <c r="K998" s="132" t="s">
        <v>3400</v>
      </c>
      <c r="L998" s="132" t="s">
        <v>1190</v>
      </c>
      <c r="M998" s="132" t="s">
        <v>3447</v>
      </c>
      <c r="N998" s="132" t="s">
        <v>1112</v>
      </c>
      <c r="O998" s="132" t="s">
        <v>3391</v>
      </c>
      <c r="P998" s="132" t="s">
        <v>3448</v>
      </c>
      <c r="Q998" s="132" t="s">
        <v>3417</v>
      </c>
      <c r="R998" s="132" t="s">
        <v>1108</v>
      </c>
    </row>
    <row r="999" spans="1:18" x14ac:dyDescent="0.2">
      <c r="A999" t="s">
        <v>311</v>
      </c>
      <c r="B999" s="141">
        <f t="shared" si="15"/>
        <v>14.41</v>
      </c>
      <c r="C999" s="280">
        <v>45750</v>
      </c>
      <c r="D999" s="279">
        <v>45755</v>
      </c>
      <c r="E999" s="279">
        <v>45755</v>
      </c>
      <c r="F999" s="132"/>
      <c r="G999" s="132" t="s">
        <v>1819</v>
      </c>
      <c r="H999" s="132" t="s">
        <v>373</v>
      </c>
      <c r="I999" s="132" t="s">
        <v>1100</v>
      </c>
      <c r="J999" s="132" t="s">
        <v>3399</v>
      </c>
      <c r="K999" s="132" t="s">
        <v>3408</v>
      </c>
      <c r="L999" s="132" t="s">
        <v>1314</v>
      </c>
      <c r="M999" s="132" t="s">
        <v>3449</v>
      </c>
      <c r="N999" s="132" t="s">
        <v>1105</v>
      </c>
      <c r="O999" s="132" t="s">
        <v>3391</v>
      </c>
      <c r="P999" s="132" t="s">
        <v>3450</v>
      </c>
      <c r="Q999" s="132" t="s">
        <v>3417</v>
      </c>
      <c r="R999" s="132" t="s">
        <v>1108</v>
      </c>
    </row>
    <row r="1000" spans="1:18" x14ac:dyDescent="0.2">
      <c r="A1000" t="s">
        <v>311</v>
      </c>
      <c r="B1000" s="141">
        <f t="shared" si="15"/>
        <v>14.32</v>
      </c>
      <c r="C1000" s="280">
        <v>45750</v>
      </c>
      <c r="D1000" s="279">
        <v>45755</v>
      </c>
      <c r="E1000" s="279">
        <v>45755</v>
      </c>
      <c r="F1000" s="132"/>
      <c r="G1000" s="132" t="s">
        <v>1108</v>
      </c>
      <c r="H1000" s="132" t="s">
        <v>373</v>
      </c>
      <c r="I1000" s="132" t="s">
        <v>1100</v>
      </c>
      <c r="J1000" s="132" t="s">
        <v>3399</v>
      </c>
      <c r="K1000" s="132" t="s">
        <v>3400</v>
      </c>
      <c r="L1000" s="132" t="s">
        <v>1190</v>
      </c>
      <c r="M1000" s="132" t="s">
        <v>3451</v>
      </c>
      <c r="N1000" s="132" t="s">
        <v>1112</v>
      </c>
      <c r="O1000" s="132" t="s">
        <v>3391</v>
      </c>
      <c r="P1000" s="132" t="s">
        <v>3452</v>
      </c>
      <c r="Q1000" s="132" t="s">
        <v>3417</v>
      </c>
      <c r="R1000" s="132" t="s">
        <v>1108</v>
      </c>
    </row>
    <row r="1001" spans="1:18" x14ac:dyDescent="0.2">
      <c r="A1001" t="s">
        <v>311</v>
      </c>
      <c r="B1001" s="141">
        <f t="shared" si="15"/>
        <v>14.32</v>
      </c>
      <c r="C1001" s="280">
        <v>45750</v>
      </c>
      <c r="D1001" s="279">
        <v>45755</v>
      </c>
      <c r="E1001" s="279">
        <v>45755</v>
      </c>
      <c r="F1001" s="132"/>
      <c r="G1001" s="132" t="s">
        <v>1108</v>
      </c>
      <c r="H1001" s="132" t="s">
        <v>373</v>
      </c>
      <c r="I1001" s="132" t="s">
        <v>1100</v>
      </c>
      <c r="J1001" s="132" t="s">
        <v>3399</v>
      </c>
      <c r="K1001" s="132" t="s">
        <v>3400</v>
      </c>
      <c r="L1001" s="132" t="s">
        <v>1190</v>
      </c>
      <c r="M1001" s="132" t="s">
        <v>3453</v>
      </c>
      <c r="N1001" s="132" t="s">
        <v>1112</v>
      </c>
      <c r="O1001" s="132" t="s">
        <v>3391</v>
      </c>
      <c r="P1001" s="132" t="s">
        <v>3454</v>
      </c>
      <c r="Q1001" s="132" t="s">
        <v>3417</v>
      </c>
      <c r="R1001" s="132" t="s">
        <v>1108</v>
      </c>
    </row>
    <row r="1002" spans="1:18" x14ac:dyDescent="0.2">
      <c r="A1002" t="s">
        <v>311</v>
      </c>
      <c r="B1002" s="141">
        <f t="shared" si="15"/>
        <v>24.07</v>
      </c>
      <c r="C1002" s="280">
        <v>45750</v>
      </c>
      <c r="D1002" s="279">
        <v>45755</v>
      </c>
      <c r="E1002" s="279">
        <v>45755</v>
      </c>
      <c r="F1002" s="132"/>
      <c r="G1002" s="132" t="s">
        <v>1108</v>
      </c>
      <c r="H1002" s="132" t="s">
        <v>373</v>
      </c>
      <c r="I1002" s="132" t="s">
        <v>1100</v>
      </c>
      <c r="J1002" s="132" t="s">
        <v>3430</v>
      </c>
      <c r="K1002" s="132" t="s">
        <v>3431</v>
      </c>
      <c r="L1002" s="132" t="s">
        <v>3432</v>
      </c>
      <c r="M1002" s="132" t="s">
        <v>3455</v>
      </c>
      <c r="N1002" s="132" t="s">
        <v>1112</v>
      </c>
      <c r="O1002" s="132" t="s">
        <v>3391</v>
      </c>
      <c r="P1002" s="132" t="s">
        <v>3456</v>
      </c>
      <c r="Q1002" s="132" t="s">
        <v>3417</v>
      </c>
      <c r="R1002" s="132" t="s">
        <v>1108</v>
      </c>
    </row>
    <row r="1003" spans="1:18" x14ac:dyDescent="0.2">
      <c r="A1003" t="s">
        <v>311</v>
      </c>
      <c r="B1003" s="141">
        <f t="shared" si="15"/>
        <v>14.32</v>
      </c>
      <c r="C1003" s="280">
        <v>45750</v>
      </c>
      <c r="D1003" s="279">
        <v>45755</v>
      </c>
      <c r="E1003" s="279">
        <v>45755</v>
      </c>
      <c r="F1003" s="132"/>
      <c r="G1003" s="132" t="s">
        <v>1108</v>
      </c>
      <c r="H1003" s="132" t="s">
        <v>373</v>
      </c>
      <c r="I1003" s="132" t="s">
        <v>1100</v>
      </c>
      <c r="J1003" s="132" t="s">
        <v>3399</v>
      </c>
      <c r="K1003" s="132" t="s">
        <v>3400</v>
      </c>
      <c r="L1003" s="132" t="s">
        <v>1190</v>
      </c>
      <c r="M1003" s="132" t="s">
        <v>3457</v>
      </c>
      <c r="N1003" s="132" t="s">
        <v>1112</v>
      </c>
      <c r="O1003" s="132" t="s">
        <v>3391</v>
      </c>
      <c r="P1003" s="132" t="s">
        <v>3458</v>
      </c>
      <c r="Q1003" s="132" t="s">
        <v>3417</v>
      </c>
      <c r="R1003" s="132" t="s">
        <v>1108</v>
      </c>
    </row>
    <row r="1004" spans="1:18" x14ac:dyDescent="0.2">
      <c r="A1004" t="s">
        <v>311</v>
      </c>
      <c r="B1004" s="141">
        <f t="shared" si="15"/>
        <v>24.22</v>
      </c>
      <c r="C1004" s="280">
        <v>45750</v>
      </c>
      <c r="D1004" s="279">
        <v>45755</v>
      </c>
      <c r="E1004" s="279">
        <v>45755</v>
      </c>
      <c r="F1004" s="132"/>
      <c r="G1004" s="132" t="s">
        <v>1108</v>
      </c>
      <c r="H1004" s="132" t="s">
        <v>373</v>
      </c>
      <c r="I1004" s="132" t="s">
        <v>1100</v>
      </c>
      <c r="J1004" s="132" t="s">
        <v>3430</v>
      </c>
      <c r="K1004" s="132" t="s">
        <v>1706</v>
      </c>
      <c r="L1004" s="132" t="s">
        <v>3459</v>
      </c>
      <c r="M1004" s="132" t="s">
        <v>3460</v>
      </c>
      <c r="N1004" s="132" t="s">
        <v>1117</v>
      </c>
      <c r="O1004" s="132" t="s">
        <v>3391</v>
      </c>
      <c r="P1004" s="132" t="s">
        <v>3461</v>
      </c>
      <c r="Q1004" s="132" t="s">
        <v>3417</v>
      </c>
      <c r="R1004" s="132" t="s">
        <v>1108</v>
      </c>
    </row>
    <row r="1005" spans="1:18" x14ac:dyDescent="0.2">
      <c r="A1005" t="s">
        <v>311</v>
      </c>
      <c r="B1005" s="141">
        <f t="shared" si="15"/>
        <v>24.07</v>
      </c>
      <c r="C1005" s="280">
        <v>45750</v>
      </c>
      <c r="D1005" s="279">
        <v>45755</v>
      </c>
      <c r="E1005" s="279">
        <v>45755</v>
      </c>
      <c r="F1005" s="132"/>
      <c r="G1005" s="132" t="s">
        <v>1108</v>
      </c>
      <c r="H1005" s="132" t="s">
        <v>373</v>
      </c>
      <c r="I1005" s="132" t="s">
        <v>1100</v>
      </c>
      <c r="J1005" s="132" t="s">
        <v>3430</v>
      </c>
      <c r="K1005" s="132" t="s">
        <v>3431</v>
      </c>
      <c r="L1005" s="132" t="s">
        <v>3432</v>
      </c>
      <c r="M1005" s="132" t="s">
        <v>3462</v>
      </c>
      <c r="N1005" s="132" t="s">
        <v>1112</v>
      </c>
      <c r="O1005" s="132" t="s">
        <v>3391</v>
      </c>
      <c r="P1005" s="132" t="s">
        <v>3463</v>
      </c>
      <c r="Q1005" s="132" t="s">
        <v>3417</v>
      </c>
      <c r="R1005" s="132" t="s">
        <v>1108</v>
      </c>
    </row>
    <row r="1006" spans="1:18" x14ac:dyDescent="0.2">
      <c r="A1006" t="s">
        <v>311</v>
      </c>
      <c r="B1006" s="141">
        <f t="shared" si="15"/>
        <v>14.32</v>
      </c>
      <c r="C1006" s="280">
        <v>45750</v>
      </c>
      <c r="D1006" s="279">
        <v>45755</v>
      </c>
      <c r="E1006" s="279">
        <v>45755</v>
      </c>
      <c r="F1006" s="132"/>
      <c r="G1006" s="132" t="s">
        <v>1108</v>
      </c>
      <c r="H1006" s="132" t="s">
        <v>373</v>
      </c>
      <c r="I1006" s="132" t="s">
        <v>1100</v>
      </c>
      <c r="J1006" s="132" t="s">
        <v>3399</v>
      </c>
      <c r="K1006" s="132" t="s">
        <v>3400</v>
      </c>
      <c r="L1006" s="132" t="s">
        <v>1190</v>
      </c>
      <c r="M1006" s="132" t="s">
        <v>3464</v>
      </c>
      <c r="N1006" s="132" t="s">
        <v>1112</v>
      </c>
      <c r="O1006" s="132" t="s">
        <v>3391</v>
      </c>
      <c r="P1006" s="132" t="s">
        <v>3465</v>
      </c>
      <c r="Q1006" s="132" t="s">
        <v>3417</v>
      </c>
      <c r="R1006" s="132" t="s">
        <v>1108</v>
      </c>
    </row>
    <row r="1007" spans="1:18" x14ac:dyDescent="0.2">
      <c r="A1007" t="s">
        <v>311</v>
      </c>
      <c r="B1007" s="141">
        <f t="shared" si="15"/>
        <v>14.41</v>
      </c>
      <c r="C1007" s="280">
        <v>45750</v>
      </c>
      <c r="D1007" s="279">
        <v>45755</v>
      </c>
      <c r="E1007" s="279">
        <v>45755</v>
      </c>
      <c r="F1007" s="132"/>
      <c r="G1007" s="132" t="s">
        <v>1108</v>
      </c>
      <c r="H1007" s="132" t="s">
        <v>373</v>
      </c>
      <c r="I1007" s="132" t="s">
        <v>1100</v>
      </c>
      <c r="J1007" s="132" t="s">
        <v>3399</v>
      </c>
      <c r="K1007" s="132" t="s">
        <v>3408</v>
      </c>
      <c r="L1007" s="132" t="s">
        <v>1314</v>
      </c>
      <c r="M1007" s="132" t="s">
        <v>3466</v>
      </c>
      <c r="N1007" s="132" t="s">
        <v>1117</v>
      </c>
      <c r="O1007" s="132" t="s">
        <v>3391</v>
      </c>
      <c r="P1007" s="132" t="s">
        <v>3467</v>
      </c>
      <c r="Q1007" s="132" t="s">
        <v>3417</v>
      </c>
      <c r="R1007" s="132" t="s">
        <v>1108</v>
      </c>
    </row>
    <row r="1008" spans="1:18" x14ac:dyDescent="0.2">
      <c r="A1008" t="s">
        <v>311</v>
      </c>
      <c r="B1008" s="141">
        <f t="shared" si="15"/>
        <v>24.07</v>
      </c>
      <c r="C1008" s="280">
        <v>45750</v>
      </c>
      <c r="D1008" s="279">
        <v>45755</v>
      </c>
      <c r="E1008" s="279">
        <v>45755</v>
      </c>
      <c r="F1008" s="132"/>
      <c r="G1008" s="132" t="s">
        <v>1108</v>
      </c>
      <c r="H1008" s="132" t="s">
        <v>373</v>
      </c>
      <c r="I1008" s="132" t="s">
        <v>1100</v>
      </c>
      <c r="J1008" s="132" t="s">
        <v>3430</v>
      </c>
      <c r="K1008" s="132" t="s">
        <v>3431</v>
      </c>
      <c r="L1008" s="132" t="s">
        <v>3432</v>
      </c>
      <c r="M1008" s="132" t="s">
        <v>3468</v>
      </c>
      <c r="N1008" s="132" t="s">
        <v>1112</v>
      </c>
      <c r="O1008" s="132" t="s">
        <v>3391</v>
      </c>
      <c r="P1008" s="132" t="s">
        <v>3469</v>
      </c>
      <c r="Q1008" s="132" t="s">
        <v>3417</v>
      </c>
      <c r="R1008" s="132" t="s">
        <v>1108</v>
      </c>
    </row>
    <row r="1009" spans="1:18" x14ac:dyDescent="0.2">
      <c r="A1009" t="s">
        <v>311</v>
      </c>
      <c r="B1009" s="141">
        <f t="shared" si="15"/>
        <v>14.32</v>
      </c>
      <c r="C1009" s="280">
        <v>45750</v>
      </c>
      <c r="D1009" s="279">
        <v>45755</v>
      </c>
      <c r="E1009" s="279">
        <v>45755</v>
      </c>
      <c r="F1009" s="132"/>
      <c r="G1009" s="132" t="s">
        <v>1108</v>
      </c>
      <c r="H1009" s="132" t="s">
        <v>373</v>
      </c>
      <c r="I1009" s="132" t="s">
        <v>1100</v>
      </c>
      <c r="J1009" s="132" t="s">
        <v>3399</v>
      </c>
      <c r="K1009" s="132" t="s">
        <v>3400</v>
      </c>
      <c r="L1009" s="132" t="s">
        <v>1190</v>
      </c>
      <c r="M1009" s="132" t="s">
        <v>3470</v>
      </c>
      <c r="N1009" s="132" t="s">
        <v>1112</v>
      </c>
      <c r="O1009" s="132" t="s">
        <v>3391</v>
      </c>
      <c r="P1009" s="132" t="s">
        <v>3471</v>
      </c>
      <c r="Q1009" s="132" t="s">
        <v>3417</v>
      </c>
      <c r="R1009" s="132" t="s">
        <v>1108</v>
      </c>
    </row>
    <row r="1010" spans="1:18" x14ac:dyDescent="0.2">
      <c r="A1010" t="s">
        <v>311</v>
      </c>
      <c r="B1010" s="141">
        <f t="shared" si="15"/>
        <v>14.32</v>
      </c>
      <c r="C1010" s="280">
        <v>45750</v>
      </c>
      <c r="D1010" s="279">
        <v>45755</v>
      </c>
      <c r="E1010" s="279">
        <v>45755</v>
      </c>
      <c r="F1010" s="132"/>
      <c r="G1010" s="132" t="s">
        <v>1108</v>
      </c>
      <c r="H1010" s="132" t="s">
        <v>373</v>
      </c>
      <c r="I1010" s="132" t="s">
        <v>1100</v>
      </c>
      <c r="J1010" s="132" t="s">
        <v>3399</v>
      </c>
      <c r="K1010" s="132" t="s">
        <v>3400</v>
      </c>
      <c r="L1010" s="132" t="s">
        <v>1190</v>
      </c>
      <c r="M1010" s="132" t="s">
        <v>3472</v>
      </c>
      <c r="N1010" s="132" t="s">
        <v>1112</v>
      </c>
      <c r="O1010" s="132" t="s">
        <v>3391</v>
      </c>
      <c r="P1010" s="132" t="s">
        <v>3473</v>
      </c>
      <c r="Q1010" s="132" t="s">
        <v>3417</v>
      </c>
      <c r="R1010" s="132" t="s">
        <v>1108</v>
      </c>
    </row>
    <row r="1011" spans="1:18" x14ac:dyDescent="0.2">
      <c r="A1011" t="s">
        <v>311</v>
      </c>
      <c r="B1011" s="141">
        <f t="shared" si="15"/>
        <v>14.32</v>
      </c>
      <c r="C1011" s="280">
        <v>45750</v>
      </c>
      <c r="D1011" s="279">
        <v>45755</v>
      </c>
      <c r="E1011" s="279">
        <v>45755</v>
      </c>
      <c r="F1011" s="132"/>
      <c r="G1011" s="132" t="s">
        <v>1108</v>
      </c>
      <c r="H1011" s="132" t="s">
        <v>373</v>
      </c>
      <c r="I1011" s="132" t="s">
        <v>1100</v>
      </c>
      <c r="J1011" s="132" t="s">
        <v>3399</v>
      </c>
      <c r="K1011" s="132" t="s">
        <v>3400</v>
      </c>
      <c r="L1011" s="132" t="s">
        <v>1190</v>
      </c>
      <c r="M1011" s="132" t="s">
        <v>3474</v>
      </c>
      <c r="N1011" s="132" t="s">
        <v>1112</v>
      </c>
      <c r="O1011" s="132" t="s">
        <v>3391</v>
      </c>
      <c r="P1011" s="132" t="s">
        <v>3475</v>
      </c>
      <c r="Q1011" s="132" t="s">
        <v>3417</v>
      </c>
      <c r="R1011" s="132" t="s">
        <v>1108</v>
      </c>
    </row>
    <row r="1012" spans="1:18" x14ac:dyDescent="0.2">
      <c r="A1012" t="s">
        <v>311</v>
      </c>
      <c r="B1012" s="141">
        <f t="shared" si="15"/>
        <v>34.03</v>
      </c>
      <c r="C1012" s="280">
        <v>45750</v>
      </c>
      <c r="D1012" s="279">
        <v>45755</v>
      </c>
      <c r="E1012" s="279">
        <v>45755</v>
      </c>
      <c r="F1012" s="132"/>
      <c r="G1012" s="132" t="s">
        <v>3476</v>
      </c>
      <c r="H1012" s="132" t="s">
        <v>373</v>
      </c>
      <c r="I1012" s="132" t="s">
        <v>1100</v>
      </c>
      <c r="J1012" s="132" t="s">
        <v>3477</v>
      </c>
      <c r="K1012" s="132" t="s">
        <v>3478</v>
      </c>
      <c r="L1012" s="132" t="s">
        <v>3479</v>
      </c>
      <c r="M1012" s="132" t="s">
        <v>3480</v>
      </c>
      <c r="N1012" s="132" t="s">
        <v>1105</v>
      </c>
      <c r="O1012" s="132" t="s">
        <v>3391</v>
      </c>
      <c r="P1012" s="132" t="s">
        <v>3481</v>
      </c>
      <c r="Q1012" s="132" t="s">
        <v>3417</v>
      </c>
      <c r="R1012" s="132" t="s">
        <v>1108</v>
      </c>
    </row>
    <row r="1013" spans="1:18" x14ac:dyDescent="0.2">
      <c r="A1013" t="s">
        <v>311</v>
      </c>
      <c r="B1013" s="141">
        <f t="shared" si="15"/>
        <v>14.32</v>
      </c>
      <c r="C1013" s="280">
        <v>45750</v>
      </c>
      <c r="D1013" s="279">
        <v>45755</v>
      </c>
      <c r="E1013" s="279">
        <v>45755</v>
      </c>
      <c r="F1013" s="132"/>
      <c r="G1013" s="132" t="s">
        <v>1108</v>
      </c>
      <c r="H1013" s="132" t="s">
        <v>373</v>
      </c>
      <c r="I1013" s="132" t="s">
        <v>1100</v>
      </c>
      <c r="J1013" s="132" t="s">
        <v>3399</v>
      </c>
      <c r="K1013" s="132" t="s">
        <v>3400</v>
      </c>
      <c r="L1013" s="132" t="s">
        <v>1190</v>
      </c>
      <c r="M1013" s="132" t="s">
        <v>3482</v>
      </c>
      <c r="N1013" s="132" t="s">
        <v>1112</v>
      </c>
      <c r="O1013" s="132" t="s">
        <v>3391</v>
      </c>
      <c r="P1013" s="132" t="s">
        <v>3483</v>
      </c>
      <c r="Q1013" s="132" t="s">
        <v>3417</v>
      </c>
      <c r="R1013" s="132" t="s">
        <v>1108</v>
      </c>
    </row>
    <row r="1014" spans="1:18" x14ac:dyDescent="0.2">
      <c r="A1014" t="s">
        <v>311</v>
      </c>
      <c r="B1014" s="141">
        <f t="shared" si="15"/>
        <v>14.32</v>
      </c>
      <c r="C1014" s="280">
        <v>45750</v>
      </c>
      <c r="D1014" s="279">
        <v>45755</v>
      </c>
      <c r="E1014" s="279">
        <v>45755</v>
      </c>
      <c r="F1014" s="132"/>
      <c r="G1014" s="132" t="s">
        <v>1108</v>
      </c>
      <c r="H1014" s="132" t="s">
        <v>373</v>
      </c>
      <c r="I1014" s="132" t="s">
        <v>1100</v>
      </c>
      <c r="J1014" s="132" t="s">
        <v>3399</v>
      </c>
      <c r="K1014" s="132" t="s">
        <v>3400</v>
      </c>
      <c r="L1014" s="132" t="s">
        <v>1190</v>
      </c>
      <c r="M1014" s="132" t="s">
        <v>3484</v>
      </c>
      <c r="N1014" s="132" t="s">
        <v>1112</v>
      </c>
      <c r="O1014" s="132" t="s">
        <v>3391</v>
      </c>
      <c r="P1014" s="132" t="s">
        <v>3485</v>
      </c>
      <c r="Q1014" s="132" t="s">
        <v>3417</v>
      </c>
      <c r="R1014" s="132" t="s">
        <v>1108</v>
      </c>
    </row>
    <row r="1015" spans="1:18" x14ac:dyDescent="0.2">
      <c r="A1015" t="s">
        <v>311</v>
      </c>
      <c r="B1015" s="141">
        <f t="shared" ref="B1015:B1078" si="16">_xlfn.NUMBERVALUE(L1015)*0.01</f>
        <v>14.41</v>
      </c>
      <c r="C1015" s="280">
        <v>45750</v>
      </c>
      <c r="D1015" s="279">
        <v>45755</v>
      </c>
      <c r="E1015" s="279">
        <v>45755</v>
      </c>
      <c r="F1015" s="132"/>
      <c r="G1015" s="132" t="s">
        <v>3486</v>
      </c>
      <c r="H1015" s="132" t="s">
        <v>373</v>
      </c>
      <c r="I1015" s="132" t="s">
        <v>1100</v>
      </c>
      <c r="J1015" s="132" t="s">
        <v>3399</v>
      </c>
      <c r="K1015" s="132" t="s">
        <v>3408</v>
      </c>
      <c r="L1015" s="132" t="s">
        <v>1314</v>
      </c>
      <c r="M1015" s="132" t="s">
        <v>3487</v>
      </c>
      <c r="N1015" s="132" t="s">
        <v>1105</v>
      </c>
      <c r="O1015" s="132" t="s">
        <v>3391</v>
      </c>
      <c r="P1015" s="132" t="s">
        <v>3488</v>
      </c>
      <c r="Q1015" s="132" t="s">
        <v>3417</v>
      </c>
      <c r="R1015" s="132" t="s">
        <v>1108</v>
      </c>
    </row>
    <row r="1016" spans="1:18" x14ac:dyDescent="0.2">
      <c r="A1016" t="s">
        <v>278</v>
      </c>
      <c r="B1016" s="141">
        <f t="shared" si="16"/>
        <v>5.59</v>
      </c>
      <c r="C1016" s="280">
        <v>45750</v>
      </c>
      <c r="D1016" s="279">
        <v>45755</v>
      </c>
      <c r="E1016" s="279">
        <v>45755</v>
      </c>
      <c r="F1016" s="132"/>
      <c r="G1016" s="132" t="s">
        <v>1108</v>
      </c>
      <c r="H1016" s="132" t="s">
        <v>373</v>
      </c>
      <c r="I1016" s="132" t="s">
        <v>1100</v>
      </c>
      <c r="J1016" s="132" t="s">
        <v>1926</v>
      </c>
      <c r="K1016" s="132" t="s">
        <v>1927</v>
      </c>
      <c r="L1016" s="132" t="s">
        <v>1928</v>
      </c>
      <c r="M1016" s="132" t="s">
        <v>3489</v>
      </c>
      <c r="N1016" s="132" t="s">
        <v>1117</v>
      </c>
      <c r="O1016" s="132" t="s">
        <v>3391</v>
      </c>
      <c r="P1016" s="132" t="s">
        <v>3490</v>
      </c>
      <c r="Q1016" s="132" t="s">
        <v>3417</v>
      </c>
      <c r="R1016" s="132" t="s">
        <v>1108</v>
      </c>
    </row>
    <row r="1017" spans="1:18" x14ac:dyDescent="0.2">
      <c r="A1017" t="s">
        <v>311</v>
      </c>
      <c r="B1017" s="141">
        <f t="shared" si="16"/>
        <v>14.32</v>
      </c>
      <c r="C1017" s="280">
        <v>45750</v>
      </c>
      <c r="D1017" s="279">
        <v>45755</v>
      </c>
      <c r="E1017" s="279">
        <v>45755</v>
      </c>
      <c r="F1017" s="132"/>
      <c r="G1017" s="132" t="s">
        <v>1108</v>
      </c>
      <c r="H1017" s="132" t="s">
        <v>373</v>
      </c>
      <c r="I1017" s="132" t="s">
        <v>1100</v>
      </c>
      <c r="J1017" s="132" t="s">
        <v>3399</v>
      </c>
      <c r="K1017" s="132" t="s">
        <v>3400</v>
      </c>
      <c r="L1017" s="132" t="s">
        <v>1190</v>
      </c>
      <c r="M1017" s="132" t="s">
        <v>3491</v>
      </c>
      <c r="N1017" s="132" t="s">
        <v>1112</v>
      </c>
      <c r="O1017" s="132" t="s">
        <v>3391</v>
      </c>
      <c r="P1017" s="132" t="s">
        <v>3492</v>
      </c>
      <c r="Q1017" s="132" t="s">
        <v>3417</v>
      </c>
      <c r="R1017" s="132" t="s">
        <v>1108</v>
      </c>
    </row>
    <row r="1018" spans="1:18" x14ac:dyDescent="0.2">
      <c r="A1018" t="s">
        <v>311</v>
      </c>
      <c r="B1018" s="141">
        <f t="shared" si="16"/>
        <v>14.32</v>
      </c>
      <c r="C1018" s="280">
        <v>45750</v>
      </c>
      <c r="D1018" s="279">
        <v>45755</v>
      </c>
      <c r="E1018" s="279">
        <v>45755</v>
      </c>
      <c r="F1018" s="132"/>
      <c r="G1018" s="132" t="s">
        <v>1108</v>
      </c>
      <c r="H1018" s="132" t="s">
        <v>373</v>
      </c>
      <c r="I1018" s="132" t="s">
        <v>1100</v>
      </c>
      <c r="J1018" s="132" t="s">
        <v>3399</v>
      </c>
      <c r="K1018" s="132" t="s">
        <v>3400</v>
      </c>
      <c r="L1018" s="132" t="s">
        <v>1190</v>
      </c>
      <c r="M1018" s="132" t="s">
        <v>3493</v>
      </c>
      <c r="N1018" s="132" t="s">
        <v>1112</v>
      </c>
      <c r="O1018" s="132" t="s">
        <v>3391</v>
      </c>
      <c r="P1018" s="132" t="s">
        <v>3494</v>
      </c>
      <c r="Q1018" s="132" t="s">
        <v>3417</v>
      </c>
      <c r="R1018" s="132" t="s">
        <v>1108</v>
      </c>
    </row>
    <row r="1019" spans="1:18" x14ac:dyDescent="0.2">
      <c r="A1019" t="s">
        <v>311</v>
      </c>
      <c r="B1019" s="141">
        <f t="shared" si="16"/>
        <v>24.22</v>
      </c>
      <c r="C1019" s="280">
        <v>45750</v>
      </c>
      <c r="D1019" s="279">
        <v>45755</v>
      </c>
      <c r="E1019" s="279">
        <v>45755</v>
      </c>
      <c r="F1019" s="132"/>
      <c r="G1019" s="132" t="s">
        <v>1108</v>
      </c>
      <c r="H1019" s="132" t="s">
        <v>373</v>
      </c>
      <c r="I1019" s="132" t="s">
        <v>1100</v>
      </c>
      <c r="J1019" s="132" t="s">
        <v>3430</v>
      </c>
      <c r="K1019" s="132" t="s">
        <v>1706</v>
      </c>
      <c r="L1019" s="132" t="s">
        <v>3459</v>
      </c>
      <c r="M1019" s="132" t="s">
        <v>3495</v>
      </c>
      <c r="N1019" s="132" t="s">
        <v>1117</v>
      </c>
      <c r="O1019" s="132" t="s">
        <v>3391</v>
      </c>
      <c r="P1019" s="132" t="s">
        <v>3496</v>
      </c>
      <c r="Q1019" s="132" t="s">
        <v>3417</v>
      </c>
      <c r="R1019" s="132" t="s">
        <v>1108</v>
      </c>
    </row>
    <row r="1020" spans="1:18" x14ac:dyDescent="0.2">
      <c r="A1020" t="s">
        <v>311</v>
      </c>
      <c r="B1020" s="141">
        <f t="shared" si="16"/>
        <v>24.07</v>
      </c>
      <c r="C1020" s="280">
        <v>45750</v>
      </c>
      <c r="D1020" s="279">
        <v>45755</v>
      </c>
      <c r="E1020" s="279">
        <v>45755</v>
      </c>
      <c r="F1020" s="132"/>
      <c r="G1020" s="132" t="s">
        <v>1108</v>
      </c>
      <c r="H1020" s="132" t="s">
        <v>373</v>
      </c>
      <c r="I1020" s="132" t="s">
        <v>1100</v>
      </c>
      <c r="J1020" s="132" t="s">
        <v>3430</v>
      </c>
      <c r="K1020" s="132" t="s">
        <v>3431</v>
      </c>
      <c r="L1020" s="132" t="s">
        <v>3432</v>
      </c>
      <c r="M1020" s="132" t="s">
        <v>3497</v>
      </c>
      <c r="N1020" s="132" t="s">
        <v>1112</v>
      </c>
      <c r="O1020" s="132" t="s">
        <v>3391</v>
      </c>
      <c r="P1020" s="132" t="s">
        <v>3498</v>
      </c>
      <c r="Q1020" s="132" t="s">
        <v>3417</v>
      </c>
      <c r="R1020" s="132" t="s">
        <v>1108</v>
      </c>
    </row>
    <row r="1021" spans="1:18" x14ac:dyDescent="0.2">
      <c r="A1021" t="s">
        <v>278</v>
      </c>
      <c r="B1021" s="141">
        <f t="shared" si="16"/>
        <v>5.55</v>
      </c>
      <c r="C1021" s="280">
        <v>45750</v>
      </c>
      <c r="D1021" s="279">
        <v>45755</v>
      </c>
      <c r="E1021" s="279">
        <v>45755</v>
      </c>
      <c r="F1021" s="132"/>
      <c r="G1021" s="132" t="s">
        <v>1108</v>
      </c>
      <c r="H1021" s="132" t="s">
        <v>373</v>
      </c>
      <c r="I1021" s="132" t="s">
        <v>1100</v>
      </c>
      <c r="J1021" s="132" t="s">
        <v>1926</v>
      </c>
      <c r="K1021" s="132" t="s">
        <v>2042</v>
      </c>
      <c r="L1021" s="132" t="s">
        <v>2834</v>
      </c>
      <c r="M1021" s="132" t="s">
        <v>3499</v>
      </c>
      <c r="N1021" s="132" t="s">
        <v>1112</v>
      </c>
      <c r="O1021" s="132" t="s">
        <v>3391</v>
      </c>
      <c r="P1021" s="132" t="s">
        <v>3500</v>
      </c>
      <c r="Q1021" s="132" t="s">
        <v>3417</v>
      </c>
      <c r="R1021" s="132" t="s">
        <v>1108</v>
      </c>
    </row>
    <row r="1022" spans="1:18" x14ac:dyDescent="0.2">
      <c r="A1022" t="s">
        <v>278</v>
      </c>
      <c r="B1022" s="141">
        <f t="shared" si="16"/>
        <v>5.55</v>
      </c>
      <c r="C1022" s="280">
        <v>45750</v>
      </c>
      <c r="D1022" s="279">
        <v>45755</v>
      </c>
      <c r="E1022" s="279">
        <v>45755</v>
      </c>
      <c r="F1022" s="132"/>
      <c r="G1022" s="132" t="s">
        <v>1108</v>
      </c>
      <c r="H1022" s="132" t="s">
        <v>373</v>
      </c>
      <c r="I1022" s="132" t="s">
        <v>1100</v>
      </c>
      <c r="J1022" s="132" t="s">
        <v>1926</v>
      </c>
      <c r="K1022" s="132" t="s">
        <v>2042</v>
      </c>
      <c r="L1022" s="132" t="s">
        <v>2834</v>
      </c>
      <c r="M1022" s="132" t="s">
        <v>3501</v>
      </c>
      <c r="N1022" s="132" t="s">
        <v>1112</v>
      </c>
      <c r="O1022" s="132" t="s">
        <v>3391</v>
      </c>
      <c r="P1022" s="132" t="s">
        <v>3502</v>
      </c>
      <c r="Q1022" s="132" t="s">
        <v>3417</v>
      </c>
      <c r="R1022" s="132" t="s">
        <v>1108</v>
      </c>
    </row>
    <row r="1023" spans="1:18" x14ac:dyDescent="0.2">
      <c r="A1023" t="s">
        <v>311</v>
      </c>
      <c r="B1023" s="141">
        <f t="shared" si="16"/>
        <v>24.22</v>
      </c>
      <c r="C1023" s="280">
        <v>45751</v>
      </c>
      <c r="D1023" s="279">
        <v>45755</v>
      </c>
      <c r="E1023" s="279">
        <v>45755</v>
      </c>
      <c r="F1023" s="132"/>
      <c r="G1023" s="132" t="s">
        <v>1108</v>
      </c>
      <c r="H1023" s="132" t="s">
        <v>373</v>
      </c>
      <c r="I1023" s="132" t="s">
        <v>1100</v>
      </c>
      <c r="J1023" s="132" t="s">
        <v>3430</v>
      </c>
      <c r="K1023" s="132" t="s">
        <v>1706</v>
      </c>
      <c r="L1023" s="132" t="s">
        <v>3459</v>
      </c>
      <c r="M1023" s="132" t="s">
        <v>3503</v>
      </c>
      <c r="N1023" s="132" t="s">
        <v>1117</v>
      </c>
      <c r="O1023" s="132" t="s">
        <v>3391</v>
      </c>
      <c r="P1023" s="132" t="s">
        <v>3504</v>
      </c>
      <c r="Q1023" s="132" t="s">
        <v>3417</v>
      </c>
      <c r="R1023" s="132" t="s">
        <v>1108</v>
      </c>
    </row>
    <row r="1024" spans="1:18" x14ac:dyDescent="0.2">
      <c r="A1024" t="s">
        <v>311</v>
      </c>
      <c r="B1024" s="141">
        <f t="shared" si="16"/>
        <v>14.41</v>
      </c>
      <c r="C1024" s="280">
        <v>45749</v>
      </c>
      <c r="D1024" s="279">
        <v>45756</v>
      </c>
      <c r="E1024" s="279">
        <v>45756</v>
      </c>
      <c r="F1024" s="132"/>
      <c r="G1024" s="132" t="s">
        <v>1108</v>
      </c>
      <c r="H1024" s="132" t="s">
        <v>373</v>
      </c>
      <c r="I1024" s="132" t="s">
        <v>1100</v>
      </c>
      <c r="J1024" s="132" t="s">
        <v>3399</v>
      </c>
      <c r="K1024" s="132" t="s">
        <v>3408</v>
      </c>
      <c r="L1024" s="132" t="s">
        <v>1314</v>
      </c>
      <c r="M1024" s="132" t="s">
        <v>3505</v>
      </c>
      <c r="N1024" s="132" t="s">
        <v>1117</v>
      </c>
      <c r="O1024" s="132" t="s">
        <v>3391</v>
      </c>
      <c r="P1024" s="132" t="s">
        <v>3506</v>
      </c>
      <c r="Q1024" s="132" t="s">
        <v>3507</v>
      </c>
      <c r="R1024" s="132" t="s">
        <v>1108</v>
      </c>
    </row>
    <row r="1025" spans="1:18" x14ac:dyDescent="0.2">
      <c r="A1025" t="s">
        <v>311</v>
      </c>
      <c r="B1025" s="141">
        <f t="shared" si="16"/>
        <v>14.32</v>
      </c>
      <c r="C1025" s="280">
        <v>45749</v>
      </c>
      <c r="D1025" s="279">
        <v>45756</v>
      </c>
      <c r="E1025" s="279">
        <v>45756</v>
      </c>
      <c r="F1025" s="132"/>
      <c r="G1025" s="132" t="s">
        <v>1108</v>
      </c>
      <c r="H1025" s="132" t="s">
        <v>373</v>
      </c>
      <c r="I1025" s="132" t="s">
        <v>1100</v>
      </c>
      <c r="J1025" s="132" t="s">
        <v>3399</v>
      </c>
      <c r="K1025" s="132" t="s">
        <v>3400</v>
      </c>
      <c r="L1025" s="132" t="s">
        <v>1190</v>
      </c>
      <c r="M1025" s="132" t="s">
        <v>3508</v>
      </c>
      <c r="N1025" s="132" t="s">
        <v>1112</v>
      </c>
      <c r="O1025" s="132" t="s">
        <v>3391</v>
      </c>
      <c r="P1025" s="132" t="s">
        <v>3509</v>
      </c>
      <c r="Q1025" s="132" t="s">
        <v>3507</v>
      </c>
      <c r="R1025" s="132" t="s">
        <v>1108</v>
      </c>
    </row>
    <row r="1026" spans="1:18" x14ac:dyDescent="0.2">
      <c r="A1026" t="s">
        <v>311</v>
      </c>
      <c r="B1026" s="141">
        <f t="shared" si="16"/>
        <v>14.32</v>
      </c>
      <c r="C1026" s="280">
        <v>45749</v>
      </c>
      <c r="D1026" s="279">
        <v>45756</v>
      </c>
      <c r="E1026" s="279">
        <v>45756</v>
      </c>
      <c r="F1026" s="132"/>
      <c r="G1026" s="132" t="s">
        <v>1108</v>
      </c>
      <c r="H1026" s="132" t="s">
        <v>373</v>
      </c>
      <c r="I1026" s="132" t="s">
        <v>1100</v>
      </c>
      <c r="J1026" s="132" t="s">
        <v>3399</v>
      </c>
      <c r="K1026" s="132" t="s">
        <v>3400</v>
      </c>
      <c r="L1026" s="132" t="s">
        <v>1190</v>
      </c>
      <c r="M1026" s="132" t="s">
        <v>3510</v>
      </c>
      <c r="N1026" s="132" t="s">
        <v>1112</v>
      </c>
      <c r="O1026" s="132" t="s">
        <v>3391</v>
      </c>
      <c r="P1026" s="132" t="s">
        <v>3511</v>
      </c>
      <c r="Q1026" s="132" t="s">
        <v>3507</v>
      </c>
      <c r="R1026" s="132" t="s">
        <v>1108</v>
      </c>
    </row>
    <row r="1027" spans="1:18" x14ac:dyDescent="0.2">
      <c r="A1027" t="s">
        <v>311</v>
      </c>
      <c r="B1027" s="141">
        <f t="shared" si="16"/>
        <v>14.32</v>
      </c>
      <c r="C1027" s="280">
        <v>45749</v>
      </c>
      <c r="D1027" s="279">
        <v>45756</v>
      </c>
      <c r="E1027" s="279">
        <v>45756</v>
      </c>
      <c r="F1027" s="132"/>
      <c r="G1027" s="132" t="s">
        <v>1108</v>
      </c>
      <c r="H1027" s="132" t="s">
        <v>373</v>
      </c>
      <c r="I1027" s="132" t="s">
        <v>1100</v>
      </c>
      <c r="J1027" s="132" t="s">
        <v>3399</v>
      </c>
      <c r="K1027" s="132" t="s">
        <v>3400</v>
      </c>
      <c r="L1027" s="132" t="s">
        <v>1190</v>
      </c>
      <c r="M1027" s="132" t="s">
        <v>3512</v>
      </c>
      <c r="N1027" s="132" t="s">
        <v>1112</v>
      </c>
      <c r="O1027" s="132" t="s">
        <v>3391</v>
      </c>
      <c r="P1027" s="132" t="s">
        <v>3513</v>
      </c>
      <c r="Q1027" s="132" t="s">
        <v>3507</v>
      </c>
      <c r="R1027" s="132" t="s">
        <v>1108</v>
      </c>
    </row>
    <row r="1028" spans="1:18" x14ac:dyDescent="0.2">
      <c r="A1028" t="s">
        <v>278</v>
      </c>
      <c r="B1028" s="141">
        <f t="shared" si="16"/>
        <v>5.55</v>
      </c>
      <c r="C1028" s="280">
        <v>45749</v>
      </c>
      <c r="D1028" s="279">
        <v>45756</v>
      </c>
      <c r="E1028" s="279">
        <v>45756</v>
      </c>
      <c r="F1028" s="132"/>
      <c r="G1028" s="132" t="s">
        <v>1108</v>
      </c>
      <c r="H1028" s="132" t="s">
        <v>373</v>
      </c>
      <c r="I1028" s="132" t="s">
        <v>1100</v>
      </c>
      <c r="J1028" s="132" t="s">
        <v>1926</v>
      </c>
      <c r="K1028" s="132" t="s">
        <v>2042</v>
      </c>
      <c r="L1028" s="132" t="s">
        <v>2834</v>
      </c>
      <c r="M1028" s="281" t="s">
        <v>3514</v>
      </c>
      <c r="N1028" s="132" t="s">
        <v>1112</v>
      </c>
      <c r="O1028" s="132" t="s">
        <v>3391</v>
      </c>
      <c r="P1028" s="132" t="s">
        <v>3515</v>
      </c>
      <c r="Q1028" s="132" t="s">
        <v>3507</v>
      </c>
      <c r="R1028" s="132" t="s">
        <v>1108</v>
      </c>
    </row>
    <row r="1029" spans="1:18" x14ac:dyDescent="0.2">
      <c r="A1029" t="s">
        <v>278</v>
      </c>
      <c r="B1029" s="141">
        <f t="shared" si="16"/>
        <v>5.55</v>
      </c>
      <c r="C1029" s="280">
        <v>45749</v>
      </c>
      <c r="D1029" s="279">
        <v>45756</v>
      </c>
      <c r="E1029" s="279">
        <v>45756</v>
      </c>
      <c r="F1029" s="132"/>
      <c r="G1029" s="132" t="s">
        <v>1108</v>
      </c>
      <c r="H1029" s="132" t="s">
        <v>373</v>
      </c>
      <c r="I1029" s="132" t="s">
        <v>1100</v>
      </c>
      <c r="J1029" s="132" t="s">
        <v>1926</v>
      </c>
      <c r="K1029" s="132" t="s">
        <v>2042</v>
      </c>
      <c r="L1029" s="132" t="s">
        <v>2834</v>
      </c>
      <c r="M1029" s="132" t="s">
        <v>3516</v>
      </c>
      <c r="N1029" s="132" t="s">
        <v>1112</v>
      </c>
      <c r="O1029" s="132" t="s">
        <v>3391</v>
      </c>
      <c r="P1029" s="132" t="s">
        <v>3517</v>
      </c>
      <c r="Q1029" s="132" t="s">
        <v>3507</v>
      </c>
      <c r="R1029" s="132" t="s">
        <v>1108</v>
      </c>
    </row>
    <row r="1030" spans="1:18" x14ac:dyDescent="0.2">
      <c r="A1030" t="s">
        <v>278</v>
      </c>
      <c r="B1030" s="141">
        <f t="shared" si="16"/>
        <v>5.55</v>
      </c>
      <c r="C1030" s="280">
        <v>45749</v>
      </c>
      <c r="D1030" s="279">
        <v>45756</v>
      </c>
      <c r="E1030" s="279">
        <v>45756</v>
      </c>
      <c r="F1030" s="132"/>
      <c r="G1030" s="132" t="s">
        <v>1108</v>
      </c>
      <c r="H1030" s="132" t="s">
        <v>373</v>
      </c>
      <c r="I1030" s="132" t="s">
        <v>1100</v>
      </c>
      <c r="J1030" s="132" t="s">
        <v>1926</v>
      </c>
      <c r="K1030" s="132" t="s">
        <v>2042</v>
      </c>
      <c r="L1030" s="132" t="s">
        <v>2834</v>
      </c>
      <c r="M1030" s="132" t="s">
        <v>3518</v>
      </c>
      <c r="N1030" s="132" t="s">
        <v>1112</v>
      </c>
      <c r="O1030" s="132" t="s">
        <v>3391</v>
      </c>
      <c r="P1030" s="132" t="s">
        <v>3519</v>
      </c>
      <c r="Q1030" s="132" t="s">
        <v>3507</v>
      </c>
      <c r="R1030" s="132" t="s">
        <v>1108</v>
      </c>
    </row>
    <row r="1031" spans="1:18" x14ac:dyDescent="0.2">
      <c r="A1031" t="s">
        <v>279</v>
      </c>
      <c r="B1031" s="141">
        <f t="shared" si="16"/>
        <v>7.5</v>
      </c>
      <c r="C1031" s="280">
        <v>45749</v>
      </c>
      <c r="D1031" s="279">
        <v>45756</v>
      </c>
      <c r="E1031" s="279">
        <v>45756</v>
      </c>
      <c r="F1031" s="132"/>
      <c r="G1031" s="132" t="s">
        <v>1108</v>
      </c>
      <c r="H1031" s="132" t="s">
        <v>373</v>
      </c>
      <c r="I1031" s="132" t="s">
        <v>1100</v>
      </c>
      <c r="J1031" s="132" t="s">
        <v>1949</v>
      </c>
      <c r="K1031" s="132" t="s">
        <v>2170</v>
      </c>
      <c r="L1031" s="132" t="s">
        <v>3057</v>
      </c>
      <c r="M1031" s="132" t="s">
        <v>3520</v>
      </c>
      <c r="N1031" s="132" t="s">
        <v>1112</v>
      </c>
      <c r="O1031" s="132" t="s">
        <v>3391</v>
      </c>
      <c r="P1031" s="132" t="s">
        <v>3521</v>
      </c>
      <c r="Q1031" s="132" t="s">
        <v>3507</v>
      </c>
      <c r="R1031" s="132" t="s">
        <v>1108</v>
      </c>
    </row>
    <row r="1032" spans="1:18" x14ac:dyDescent="0.2">
      <c r="A1032" t="s">
        <v>278</v>
      </c>
      <c r="B1032" s="141">
        <f t="shared" si="16"/>
        <v>5.59</v>
      </c>
      <c r="C1032" s="280">
        <v>45749</v>
      </c>
      <c r="D1032" s="279">
        <v>45756</v>
      </c>
      <c r="E1032" s="279">
        <v>45756</v>
      </c>
      <c r="F1032" s="132"/>
      <c r="G1032" s="132" t="s">
        <v>1290</v>
      </c>
      <c r="H1032" s="132" t="s">
        <v>373</v>
      </c>
      <c r="I1032" s="132" t="s">
        <v>1100</v>
      </c>
      <c r="J1032" s="132" t="s">
        <v>1926</v>
      </c>
      <c r="K1032" s="132" t="s">
        <v>1927</v>
      </c>
      <c r="L1032" s="132" t="s">
        <v>1928</v>
      </c>
      <c r="M1032" s="132" t="s">
        <v>3522</v>
      </c>
      <c r="N1032" s="132" t="s">
        <v>1105</v>
      </c>
      <c r="O1032" s="132" t="s">
        <v>3391</v>
      </c>
      <c r="P1032" s="132" t="s">
        <v>3523</v>
      </c>
      <c r="Q1032" s="132" t="s">
        <v>3507</v>
      </c>
      <c r="R1032" s="132" t="s">
        <v>1108</v>
      </c>
    </row>
    <row r="1033" spans="1:18" x14ac:dyDescent="0.2">
      <c r="A1033" t="s">
        <v>279</v>
      </c>
      <c r="B1033" s="141">
        <f t="shared" si="16"/>
        <v>7.55</v>
      </c>
      <c r="C1033" s="280">
        <v>45749</v>
      </c>
      <c r="D1033" s="279">
        <v>45756</v>
      </c>
      <c r="E1033" s="279">
        <v>45756</v>
      </c>
      <c r="F1033" s="132"/>
      <c r="G1033" s="132" t="s">
        <v>1108</v>
      </c>
      <c r="H1033" s="132" t="s">
        <v>373</v>
      </c>
      <c r="I1033" s="132" t="s">
        <v>1100</v>
      </c>
      <c r="J1033" s="132" t="s">
        <v>1949</v>
      </c>
      <c r="K1033" s="132" t="s">
        <v>1950</v>
      </c>
      <c r="L1033" s="132" t="s">
        <v>1951</v>
      </c>
      <c r="M1033" s="132" t="s">
        <v>3524</v>
      </c>
      <c r="N1033" s="132" t="s">
        <v>1117</v>
      </c>
      <c r="O1033" s="132" t="s">
        <v>3391</v>
      </c>
      <c r="P1033" s="132" t="s">
        <v>3525</v>
      </c>
      <c r="Q1033" s="132" t="s">
        <v>3507</v>
      </c>
      <c r="R1033" s="132" t="s">
        <v>1108</v>
      </c>
    </row>
    <row r="1034" spans="1:18" x14ac:dyDescent="0.2">
      <c r="A1034" t="s">
        <v>278</v>
      </c>
      <c r="B1034" s="141">
        <f t="shared" si="16"/>
        <v>5.55</v>
      </c>
      <c r="C1034" s="280">
        <v>45749</v>
      </c>
      <c r="D1034" s="279">
        <v>45756</v>
      </c>
      <c r="E1034" s="279">
        <v>45756</v>
      </c>
      <c r="F1034" s="132"/>
      <c r="G1034" s="132" t="s">
        <v>1108</v>
      </c>
      <c r="H1034" s="132" t="s">
        <v>373</v>
      </c>
      <c r="I1034" s="132" t="s">
        <v>1100</v>
      </c>
      <c r="J1034" s="132" t="s">
        <v>1926</v>
      </c>
      <c r="K1034" s="132" t="s">
        <v>2042</v>
      </c>
      <c r="L1034" s="132" t="s">
        <v>2834</v>
      </c>
      <c r="M1034" s="132" t="s">
        <v>3526</v>
      </c>
      <c r="N1034" s="132" t="s">
        <v>1112</v>
      </c>
      <c r="O1034" s="132" t="s">
        <v>3391</v>
      </c>
      <c r="P1034" s="132" t="s">
        <v>3527</v>
      </c>
      <c r="Q1034" s="132" t="s">
        <v>3507</v>
      </c>
      <c r="R1034" s="132" t="s">
        <v>1108</v>
      </c>
    </row>
    <row r="1035" spans="1:18" x14ac:dyDescent="0.2">
      <c r="A1035" t="s">
        <v>278</v>
      </c>
      <c r="B1035" s="141">
        <f t="shared" si="16"/>
        <v>5.55</v>
      </c>
      <c r="C1035" s="280">
        <v>45749</v>
      </c>
      <c r="D1035" s="279">
        <v>45756</v>
      </c>
      <c r="E1035" s="279">
        <v>45756</v>
      </c>
      <c r="F1035" s="132"/>
      <c r="G1035" s="132" t="s">
        <v>1108</v>
      </c>
      <c r="H1035" s="132" t="s">
        <v>373</v>
      </c>
      <c r="I1035" s="132" t="s">
        <v>1100</v>
      </c>
      <c r="J1035" s="132" t="s">
        <v>1926</v>
      </c>
      <c r="K1035" s="132" t="s">
        <v>2042</v>
      </c>
      <c r="L1035" s="132" t="s">
        <v>2834</v>
      </c>
      <c r="M1035" s="132" t="s">
        <v>3528</v>
      </c>
      <c r="N1035" s="132" t="s">
        <v>1112</v>
      </c>
      <c r="O1035" s="132" t="s">
        <v>3391</v>
      </c>
      <c r="P1035" s="132" t="s">
        <v>3529</v>
      </c>
      <c r="Q1035" s="132" t="s">
        <v>3507</v>
      </c>
      <c r="R1035" s="132" t="s">
        <v>1108</v>
      </c>
    </row>
    <row r="1036" spans="1:18" x14ac:dyDescent="0.2">
      <c r="A1036" t="s">
        <v>278</v>
      </c>
      <c r="B1036" s="141">
        <f t="shared" si="16"/>
        <v>5.59</v>
      </c>
      <c r="C1036" s="280">
        <v>45749</v>
      </c>
      <c r="D1036" s="279">
        <v>45756</v>
      </c>
      <c r="E1036" s="279">
        <v>45756</v>
      </c>
      <c r="F1036" s="132"/>
      <c r="G1036" s="132" t="s">
        <v>1108</v>
      </c>
      <c r="H1036" s="132" t="s">
        <v>373</v>
      </c>
      <c r="I1036" s="132" t="s">
        <v>1100</v>
      </c>
      <c r="J1036" s="132" t="s">
        <v>1926</v>
      </c>
      <c r="K1036" s="132" t="s">
        <v>1927</v>
      </c>
      <c r="L1036" s="132" t="s">
        <v>1928</v>
      </c>
      <c r="M1036" s="132" t="s">
        <v>3530</v>
      </c>
      <c r="N1036" s="132" t="s">
        <v>1117</v>
      </c>
      <c r="O1036" s="132" t="s">
        <v>3391</v>
      </c>
      <c r="P1036" s="281" t="s">
        <v>3531</v>
      </c>
      <c r="Q1036" s="132" t="s">
        <v>3507</v>
      </c>
      <c r="R1036" s="132" t="s">
        <v>1108</v>
      </c>
    </row>
    <row r="1037" spans="1:18" x14ac:dyDescent="0.2">
      <c r="A1037" t="s">
        <v>278</v>
      </c>
      <c r="B1037" s="141">
        <f t="shared" si="16"/>
        <v>5.55</v>
      </c>
      <c r="C1037" s="280">
        <v>45749</v>
      </c>
      <c r="D1037" s="279">
        <v>45756</v>
      </c>
      <c r="E1037" s="279">
        <v>45756</v>
      </c>
      <c r="F1037" s="132"/>
      <c r="G1037" s="132" t="s">
        <v>1108</v>
      </c>
      <c r="H1037" s="132" t="s">
        <v>373</v>
      </c>
      <c r="I1037" s="132" t="s">
        <v>1100</v>
      </c>
      <c r="J1037" s="132" t="s">
        <v>1926</v>
      </c>
      <c r="K1037" s="132" t="s">
        <v>2042</v>
      </c>
      <c r="L1037" s="132" t="s">
        <v>2834</v>
      </c>
      <c r="M1037" s="132" t="s">
        <v>3532</v>
      </c>
      <c r="N1037" s="132" t="s">
        <v>1112</v>
      </c>
      <c r="O1037" s="132" t="s">
        <v>3391</v>
      </c>
      <c r="P1037" s="132" t="s">
        <v>3533</v>
      </c>
      <c r="Q1037" s="132" t="s">
        <v>3507</v>
      </c>
      <c r="R1037" s="132" t="s">
        <v>1108</v>
      </c>
    </row>
    <row r="1038" spans="1:18" x14ac:dyDescent="0.2">
      <c r="A1038" t="s">
        <v>278</v>
      </c>
      <c r="B1038" s="141">
        <f t="shared" si="16"/>
        <v>5.59</v>
      </c>
      <c r="C1038" s="280">
        <v>45749</v>
      </c>
      <c r="D1038" s="279">
        <v>45756</v>
      </c>
      <c r="E1038" s="279">
        <v>45756</v>
      </c>
      <c r="F1038" s="132"/>
      <c r="G1038" s="132" t="s">
        <v>1421</v>
      </c>
      <c r="H1038" s="132" t="s">
        <v>373</v>
      </c>
      <c r="I1038" s="132" t="s">
        <v>1100</v>
      </c>
      <c r="J1038" s="132" t="s">
        <v>1926</v>
      </c>
      <c r="K1038" s="132" t="s">
        <v>1927</v>
      </c>
      <c r="L1038" s="132" t="s">
        <v>1928</v>
      </c>
      <c r="M1038" s="132" t="s">
        <v>3534</v>
      </c>
      <c r="N1038" s="132" t="s">
        <v>1105</v>
      </c>
      <c r="O1038" s="132" t="s">
        <v>3391</v>
      </c>
      <c r="P1038" s="132" t="s">
        <v>3535</v>
      </c>
      <c r="Q1038" s="132" t="s">
        <v>3507</v>
      </c>
      <c r="R1038" s="132" t="s">
        <v>1108</v>
      </c>
    </row>
    <row r="1039" spans="1:18" x14ac:dyDescent="0.2">
      <c r="A1039" t="s">
        <v>278</v>
      </c>
      <c r="B1039" s="141">
        <f t="shared" si="16"/>
        <v>5.55</v>
      </c>
      <c r="C1039" s="280">
        <v>45749</v>
      </c>
      <c r="D1039" s="279">
        <v>45756</v>
      </c>
      <c r="E1039" s="279">
        <v>45756</v>
      </c>
      <c r="F1039" s="132"/>
      <c r="G1039" s="132" t="s">
        <v>1108</v>
      </c>
      <c r="H1039" s="132" t="s">
        <v>373</v>
      </c>
      <c r="I1039" s="132" t="s">
        <v>1100</v>
      </c>
      <c r="J1039" s="132" t="s">
        <v>1926</v>
      </c>
      <c r="K1039" s="132" t="s">
        <v>2042</v>
      </c>
      <c r="L1039" s="132" t="s">
        <v>2834</v>
      </c>
      <c r="M1039" s="132" t="s">
        <v>3536</v>
      </c>
      <c r="N1039" s="132" t="s">
        <v>1112</v>
      </c>
      <c r="O1039" s="132" t="s">
        <v>3391</v>
      </c>
      <c r="P1039" s="132" t="s">
        <v>3537</v>
      </c>
      <c r="Q1039" s="132" t="s">
        <v>3507</v>
      </c>
      <c r="R1039" s="132" t="s">
        <v>1108</v>
      </c>
    </row>
    <row r="1040" spans="1:18" x14ac:dyDescent="0.2">
      <c r="A1040" t="s">
        <v>278</v>
      </c>
      <c r="B1040" s="141">
        <f t="shared" si="16"/>
        <v>5.55</v>
      </c>
      <c r="C1040" s="280">
        <v>45749</v>
      </c>
      <c r="D1040" s="279">
        <v>45756</v>
      </c>
      <c r="E1040" s="279">
        <v>45756</v>
      </c>
      <c r="F1040" s="132"/>
      <c r="G1040" s="132" t="s">
        <v>1108</v>
      </c>
      <c r="H1040" s="132" t="s">
        <v>373</v>
      </c>
      <c r="I1040" s="132" t="s">
        <v>1100</v>
      </c>
      <c r="J1040" s="132" t="s">
        <v>1926</v>
      </c>
      <c r="K1040" s="132" t="s">
        <v>2042</v>
      </c>
      <c r="L1040" s="132" t="s">
        <v>2834</v>
      </c>
      <c r="M1040" s="132" t="s">
        <v>3538</v>
      </c>
      <c r="N1040" s="132" t="s">
        <v>1112</v>
      </c>
      <c r="O1040" s="132" t="s">
        <v>3391</v>
      </c>
      <c r="P1040" s="132" t="s">
        <v>3539</v>
      </c>
      <c r="Q1040" s="132" t="s">
        <v>3507</v>
      </c>
      <c r="R1040" s="132" t="s">
        <v>1108</v>
      </c>
    </row>
    <row r="1041" spans="1:18" x14ac:dyDescent="0.2">
      <c r="A1041" t="s">
        <v>311</v>
      </c>
      <c r="B1041" s="141">
        <f t="shared" si="16"/>
        <v>24.07</v>
      </c>
      <c r="C1041" s="280">
        <v>45749</v>
      </c>
      <c r="D1041" s="279">
        <v>45756</v>
      </c>
      <c r="E1041" s="279">
        <v>45756</v>
      </c>
      <c r="F1041" s="132"/>
      <c r="G1041" s="132" t="s">
        <v>1108</v>
      </c>
      <c r="H1041" s="132" t="s">
        <v>373</v>
      </c>
      <c r="I1041" s="132" t="s">
        <v>1100</v>
      </c>
      <c r="J1041" s="132" t="s">
        <v>3430</v>
      </c>
      <c r="K1041" s="132" t="s">
        <v>3431</v>
      </c>
      <c r="L1041" s="132" t="s">
        <v>3432</v>
      </c>
      <c r="M1041" s="132" t="s">
        <v>3540</v>
      </c>
      <c r="N1041" s="132" t="s">
        <v>1112</v>
      </c>
      <c r="O1041" s="132" t="s">
        <v>3391</v>
      </c>
      <c r="P1041" s="132" t="s">
        <v>3541</v>
      </c>
      <c r="Q1041" s="132" t="s">
        <v>3507</v>
      </c>
      <c r="R1041" s="132" t="s">
        <v>1108</v>
      </c>
    </row>
    <row r="1042" spans="1:18" x14ac:dyDescent="0.2">
      <c r="A1042" t="s">
        <v>278</v>
      </c>
      <c r="B1042" s="141">
        <f t="shared" si="16"/>
        <v>5.59</v>
      </c>
      <c r="C1042" s="280">
        <v>45749</v>
      </c>
      <c r="D1042" s="279">
        <v>45756</v>
      </c>
      <c r="E1042" s="279">
        <v>45756</v>
      </c>
      <c r="F1042" s="132"/>
      <c r="G1042" s="132" t="s">
        <v>1108</v>
      </c>
      <c r="H1042" s="132" t="s">
        <v>373</v>
      </c>
      <c r="I1042" s="132" t="s">
        <v>1100</v>
      </c>
      <c r="J1042" s="132" t="s">
        <v>1926</v>
      </c>
      <c r="K1042" s="132" t="s">
        <v>1927</v>
      </c>
      <c r="L1042" s="132" t="s">
        <v>1928</v>
      </c>
      <c r="M1042" s="132" t="s">
        <v>3542</v>
      </c>
      <c r="N1042" s="132" t="s">
        <v>1117</v>
      </c>
      <c r="O1042" s="132" t="s">
        <v>3391</v>
      </c>
      <c r="P1042" s="132" t="s">
        <v>3543</v>
      </c>
      <c r="Q1042" s="132" t="s">
        <v>3507</v>
      </c>
      <c r="R1042" s="132" t="s">
        <v>1108</v>
      </c>
    </row>
    <row r="1043" spans="1:18" x14ac:dyDescent="0.2">
      <c r="A1043" t="s">
        <v>278</v>
      </c>
      <c r="B1043" s="141">
        <f t="shared" si="16"/>
        <v>5.59</v>
      </c>
      <c r="C1043" s="280">
        <v>45749</v>
      </c>
      <c r="D1043" s="279">
        <v>45756</v>
      </c>
      <c r="E1043" s="279">
        <v>45756</v>
      </c>
      <c r="F1043" s="132"/>
      <c r="G1043" s="132" t="s">
        <v>1108</v>
      </c>
      <c r="H1043" s="132" t="s">
        <v>373</v>
      </c>
      <c r="I1043" s="132" t="s">
        <v>1100</v>
      </c>
      <c r="J1043" s="132" t="s">
        <v>1926</v>
      </c>
      <c r="K1043" s="132" t="s">
        <v>1927</v>
      </c>
      <c r="L1043" s="132" t="s">
        <v>1928</v>
      </c>
      <c r="M1043" s="132" t="s">
        <v>3544</v>
      </c>
      <c r="N1043" s="132" t="s">
        <v>1117</v>
      </c>
      <c r="O1043" s="132" t="s">
        <v>3391</v>
      </c>
      <c r="P1043" s="132" t="s">
        <v>3545</v>
      </c>
      <c r="Q1043" s="132" t="s">
        <v>3507</v>
      </c>
      <c r="R1043" s="132" t="s">
        <v>1108</v>
      </c>
    </row>
    <row r="1044" spans="1:18" x14ac:dyDescent="0.2">
      <c r="A1044" t="s">
        <v>278</v>
      </c>
      <c r="B1044" s="141">
        <f t="shared" si="16"/>
        <v>5.55</v>
      </c>
      <c r="C1044" s="280">
        <v>45749</v>
      </c>
      <c r="D1044" s="279">
        <v>45756</v>
      </c>
      <c r="E1044" s="279">
        <v>45756</v>
      </c>
      <c r="F1044" s="132"/>
      <c r="G1044" s="132" t="s">
        <v>1108</v>
      </c>
      <c r="H1044" s="132" t="s">
        <v>373</v>
      </c>
      <c r="I1044" s="132" t="s">
        <v>1100</v>
      </c>
      <c r="J1044" s="132" t="s">
        <v>1926</v>
      </c>
      <c r="K1044" s="132" t="s">
        <v>2042</v>
      </c>
      <c r="L1044" s="132" t="s">
        <v>2834</v>
      </c>
      <c r="M1044" s="132" t="s">
        <v>3546</v>
      </c>
      <c r="N1044" s="132" t="s">
        <v>1112</v>
      </c>
      <c r="O1044" s="132" t="s">
        <v>3391</v>
      </c>
      <c r="P1044" s="132" t="s">
        <v>3547</v>
      </c>
      <c r="Q1044" s="132" t="s">
        <v>3507</v>
      </c>
      <c r="R1044" s="132" t="s">
        <v>1108</v>
      </c>
    </row>
    <row r="1045" spans="1:18" x14ac:dyDescent="0.2">
      <c r="A1045" t="s">
        <v>278</v>
      </c>
      <c r="B1045" s="141">
        <f t="shared" si="16"/>
        <v>5.55</v>
      </c>
      <c r="C1045" s="280">
        <v>45749</v>
      </c>
      <c r="D1045" s="279">
        <v>45756</v>
      </c>
      <c r="E1045" s="279">
        <v>45756</v>
      </c>
      <c r="F1045" s="132"/>
      <c r="G1045" s="132" t="s">
        <v>1108</v>
      </c>
      <c r="H1045" s="132" t="s">
        <v>373</v>
      </c>
      <c r="I1045" s="132" t="s">
        <v>1100</v>
      </c>
      <c r="J1045" s="132" t="s">
        <v>1926</v>
      </c>
      <c r="K1045" s="132" t="s">
        <v>2042</v>
      </c>
      <c r="L1045" s="132" t="s">
        <v>2834</v>
      </c>
      <c r="M1045" s="132" t="s">
        <v>3548</v>
      </c>
      <c r="N1045" s="132" t="s">
        <v>1112</v>
      </c>
      <c r="O1045" s="132" t="s">
        <v>3391</v>
      </c>
      <c r="P1045" s="132" t="s">
        <v>3549</v>
      </c>
      <c r="Q1045" s="132" t="s">
        <v>3507</v>
      </c>
      <c r="R1045" s="132" t="s">
        <v>1108</v>
      </c>
    </row>
    <row r="1046" spans="1:18" x14ac:dyDescent="0.2">
      <c r="A1046" t="s">
        <v>278</v>
      </c>
      <c r="B1046" s="141">
        <f t="shared" si="16"/>
        <v>5.55</v>
      </c>
      <c r="C1046" s="280">
        <v>45749</v>
      </c>
      <c r="D1046" s="279">
        <v>45756</v>
      </c>
      <c r="E1046" s="279">
        <v>45756</v>
      </c>
      <c r="F1046" s="132"/>
      <c r="G1046" s="132" t="s">
        <v>1108</v>
      </c>
      <c r="H1046" s="132" t="s">
        <v>373</v>
      </c>
      <c r="I1046" s="132" t="s">
        <v>1100</v>
      </c>
      <c r="J1046" s="132" t="s">
        <v>1926</v>
      </c>
      <c r="K1046" s="132" t="s">
        <v>2042</v>
      </c>
      <c r="L1046" s="132" t="s">
        <v>2834</v>
      </c>
      <c r="M1046" s="132" t="s">
        <v>3550</v>
      </c>
      <c r="N1046" s="132" t="s">
        <v>1112</v>
      </c>
      <c r="O1046" s="132" t="s">
        <v>3391</v>
      </c>
      <c r="P1046" s="132" t="s">
        <v>3551</v>
      </c>
      <c r="Q1046" s="132" t="s">
        <v>3507</v>
      </c>
      <c r="R1046" s="132" t="s">
        <v>1108</v>
      </c>
    </row>
    <row r="1047" spans="1:18" x14ac:dyDescent="0.2">
      <c r="A1047" t="s">
        <v>278</v>
      </c>
      <c r="B1047" s="141">
        <f t="shared" si="16"/>
        <v>5.55</v>
      </c>
      <c r="C1047" s="280">
        <v>45749</v>
      </c>
      <c r="D1047" s="279">
        <v>45756</v>
      </c>
      <c r="E1047" s="279">
        <v>45756</v>
      </c>
      <c r="F1047" s="132"/>
      <c r="G1047" s="132" t="s">
        <v>1108</v>
      </c>
      <c r="H1047" s="132" t="s">
        <v>373</v>
      </c>
      <c r="I1047" s="132" t="s">
        <v>1100</v>
      </c>
      <c r="J1047" s="132" t="s">
        <v>1926</v>
      </c>
      <c r="K1047" s="132" t="s">
        <v>2042</v>
      </c>
      <c r="L1047" s="132" t="s">
        <v>2834</v>
      </c>
      <c r="M1047" s="132" t="s">
        <v>3552</v>
      </c>
      <c r="N1047" s="132" t="s">
        <v>1112</v>
      </c>
      <c r="O1047" s="132" t="s">
        <v>3391</v>
      </c>
      <c r="P1047" s="132" t="s">
        <v>3553</v>
      </c>
      <c r="Q1047" s="132" t="s">
        <v>3507</v>
      </c>
      <c r="R1047" s="132" t="s">
        <v>1108</v>
      </c>
    </row>
    <row r="1048" spans="1:18" x14ac:dyDescent="0.2">
      <c r="A1048" t="s">
        <v>278</v>
      </c>
      <c r="B1048" s="141">
        <f t="shared" si="16"/>
        <v>5.55</v>
      </c>
      <c r="C1048" s="280">
        <v>45749</v>
      </c>
      <c r="D1048" s="279">
        <v>45756</v>
      </c>
      <c r="E1048" s="279">
        <v>45756</v>
      </c>
      <c r="F1048" s="132"/>
      <c r="G1048" s="132" t="s">
        <v>1108</v>
      </c>
      <c r="H1048" s="132" t="s">
        <v>373</v>
      </c>
      <c r="I1048" s="132" t="s">
        <v>1100</v>
      </c>
      <c r="J1048" s="132" t="s">
        <v>1926</v>
      </c>
      <c r="K1048" s="132" t="s">
        <v>2042</v>
      </c>
      <c r="L1048" s="132" t="s">
        <v>2834</v>
      </c>
      <c r="M1048" s="132" t="s">
        <v>3554</v>
      </c>
      <c r="N1048" s="132" t="s">
        <v>1112</v>
      </c>
      <c r="O1048" s="132" t="s">
        <v>3391</v>
      </c>
      <c r="P1048" s="132" t="s">
        <v>3555</v>
      </c>
      <c r="Q1048" s="132" t="s">
        <v>3507</v>
      </c>
      <c r="R1048" s="132" t="s">
        <v>1108</v>
      </c>
    </row>
    <row r="1049" spans="1:18" x14ac:dyDescent="0.2">
      <c r="A1049" t="s">
        <v>278</v>
      </c>
      <c r="B1049" s="141">
        <f t="shared" si="16"/>
        <v>5.55</v>
      </c>
      <c r="C1049" s="280">
        <v>45749</v>
      </c>
      <c r="D1049" s="279">
        <v>45756</v>
      </c>
      <c r="E1049" s="279">
        <v>45756</v>
      </c>
      <c r="F1049" s="132"/>
      <c r="G1049" s="132" t="s">
        <v>1108</v>
      </c>
      <c r="H1049" s="132" t="s">
        <v>373</v>
      </c>
      <c r="I1049" s="132" t="s">
        <v>1100</v>
      </c>
      <c r="J1049" s="132" t="s">
        <v>1926</v>
      </c>
      <c r="K1049" s="132" t="s">
        <v>2042</v>
      </c>
      <c r="L1049" s="132" t="s">
        <v>2834</v>
      </c>
      <c r="M1049" s="132" t="s">
        <v>3556</v>
      </c>
      <c r="N1049" s="132" t="s">
        <v>1112</v>
      </c>
      <c r="O1049" s="132" t="s">
        <v>3391</v>
      </c>
      <c r="P1049" s="132" t="s">
        <v>3557</v>
      </c>
      <c r="Q1049" s="132" t="s">
        <v>3507</v>
      </c>
      <c r="R1049" s="132" t="s">
        <v>1108</v>
      </c>
    </row>
    <row r="1050" spans="1:18" x14ac:dyDescent="0.2">
      <c r="A1050" t="s">
        <v>311</v>
      </c>
      <c r="B1050" s="141">
        <f t="shared" si="16"/>
        <v>14.32</v>
      </c>
      <c r="C1050" s="280">
        <v>45749</v>
      </c>
      <c r="D1050" s="279">
        <v>45756</v>
      </c>
      <c r="E1050" s="279">
        <v>45756</v>
      </c>
      <c r="F1050" s="132"/>
      <c r="G1050" s="132" t="s">
        <v>1108</v>
      </c>
      <c r="H1050" s="132" t="s">
        <v>373</v>
      </c>
      <c r="I1050" s="132" t="s">
        <v>1100</v>
      </c>
      <c r="J1050" s="132" t="s">
        <v>3399</v>
      </c>
      <c r="K1050" s="132" t="s">
        <v>3400</v>
      </c>
      <c r="L1050" s="132" t="s">
        <v>1190</v>
      </c>
      <c r="M1050" s="132" t="s">
        <v>3558</v>
      </c>
      <c r="N1050" s="132" t="s">
        <v>1112</v>
      </c>
      <c r="O1050" s="132" t="s">
        <v>3391</v>
      </c>
      <c r="P1050" s="132" t="s">
        <v>3559</v>
      </c>
      <c r="Q1050" s="132" t="s">
        <v>3507</v>
      </c>
      <c r="R1050" s="132" t="s">
        <v>1108</v>
      </c>
    </row>
    <row r="1051" spans="1:18" x14ac:dyDescent="0.2">
      <c r="A1051" t="s">
        <v>311</v>
      </c>
      <c r="B1051" s="141">
        <f t="shared" si="16"/>
        <v>14.32</v>
      </c>
      <c r="C1051" s="280">
        <v>45751</v>
      </c>
      <c r="D1051" s="279">
        <v>45756</v>
      </c>
      <c r="E1051" s="279">
        <v>45756</v>
      </c>
      <c r="F1051" s="132"/>
      <c r="G1051" s="132" t="s">
        <v>1108</v>
      </c>
      <c r="H1051" s="132" t="s">
        <v>373</v>
      </c>
      <c r="I1051" s="132" t="s">
        <v>1100</v>
      </c>
      <c r="J1051" s="132" t="s">
        <v>3399</v>
      </c>
      <c r="K1051" s="132" t="s">
        <v>3400</v>
      </c>
      <c r="L1051" s="132" t="s">
        <v>1190</v>
      </c>
      <c r="M1051" s="132" t="s">
        <v>3560</v>
      </c>
      <c r="N1051" s="132" t="s">
        <v>1112</v>
      </c>
      <c r="O1051" s="132" t="s">
        <v>3391</v>
      </c>
      <c r="P1051" s="132" t="s">
        <v>3561</v>
      </c>
      <c r="Q1051" s="132" t="s">
        <v>3507</v>
      </c>
      <c r="R1051" s="132" t="s">
        <v>1108</v>
      </c>
    </row>
    <row r="1052" spans="1:18" x14ac:dyDescent="0.2">
      <c r="A1052" t="s">
        <v>311</v>
      </c>
      <c r="B1052" s="141">
        <f t="shared" si="16"/>
        <v>14.32</v>
      </c>
      <c r="C1052" s="280">
        <v>45751</v>
      </c>
      <c r="D1052" s="279">
        <v>45756</v>
      </c>
      <c r="E1052" s="279">
        <v>45756</v>
      </c>
      <c r="F1052" s="132"/>
      <c r="G1052" s="132" t="s">
        <v>1108</v>
      </c>
      <c r="H1052" s="132" t="s">
        <v>373</v>
      </c>
      <c r="I1052" s="132" t="s">
        <v>1100</v>
      </c>
      <c r="J1052" s="132" t="s">
        <v>3399</v>
      </c>
      <c r="K1052" s="132" t="s">
        <v>3400</v>
      </c>
      <c r="L1052" s="132" t="s">
        <v>1190</v>
      </c>
      <c r="M1052" s="132" t="s">
        <v>3562</v>
      </c>
      <c r="N1052" s="132" t="s">
        <v>1112</v>
      </c>
      <c r="O1052" s="132" t="s">
        <v>3391</v>
      </c>
      <c r="P1052" s="132" t="s">
        <v>3563</v>
      </c>
      <c r="Q1052" s="132" t="s">
        <v>3507</v>
      </c>
      <c r="R1052" s="132" t="s">
        <v>1108</v>
      </c>
    </row>
    <row r="1053" spans="1:18" x14ac:dyDescent="0.2">
      <c r="A1053" t="s">
        <v>311</v>
      </c>
      <c r="B1053" s="141">
        <f t="shared" si="16"/>
        <v>14.41</v>
      </c>
      <c r="C1053" s="280">
        <v>45751</v>
      </c>
      <c r="D1053" s="279">
        <v>45756</v>
      </c>
      <c r="E1053" s="279">
        <v>45756</v>
      </c>
      <c r="F1053" s="132"/>
      <c r="G1053" s="132" t="s">
        <v>3282</v>
      </c>
      <c r="H1053" s="132" t="s">
        <v>373</v>
      </c>
      <c r="I1053" s="132" t="s">
        <v>1100</v>
      </c>
      <c r="J1053" s="132" t="s">
        <v>3399</v>
      </c>
      <c r="K1053" s="132" t="s">
        <v>3408</v>
      </c>
      <c r="L1053" s="132" t="s">
        <v>1314</v>
      </c>
      <c r="M1053" s="132" t="s">
        <v>3564</v>
      </c>
      <c r="N1053" s="132" t="s">
        <v>1105</v>
      </c>
      <c r="O1053" s="132" t="s">
        <v>3391</v>
      </c>
      <c r="P1053" s="132" t="s">
        <v>3565</v>
      </c>
      <c r="Q1053" s="132" t="s">
        <v>3507</v>
      </c>
      <c r="R1053" s="132" t="s">
        <v>1108</v>
      </c>
    </row>
    <row r="1054" spans="1:18" x14ac:dyDescent="0.2">
      <c r="A1054" t="s">
        <v>311</v>
      </c>
      <c r="B1054" s="141">
        <f t="shared" si="16"/>
        <v>14.32</v>
      </c>
      <c r="C1054" s="280">
        <v>45751</v>
      </c>
      <c r="D1054" s="279">
        <v>45756</v>
      </c>
      <c r="E1054" s="279">
        <v>45756</v>
      </c>
      <c r="F1054" s="132"/>
      <c r="G1054" s="132" t="s">
        <v>1108</v>
      </c>
      <c r="H1054" s="132" t="s">
        <v>373</v>
      </c>
      <c r="I1054" s="132" t="s">
        <v>1100</v>
      </c>
      <c r="J1054" s="132" t="s">
        <v>3399</v>
      </c>
      <c r="K1054" s="132" t="s">
        <v>3400</v>
      </c>
      <c r="L1054" s="132" t="s">
        <v>1190</v>
      </c>
      <c r="M1054" s="132" t="s">
        <v>3566</v>
      </c>
      <c r="N1054" s="132" t="s">
        <v>1112</v>
      </c>
      <c r="O1054" s="132" t="s">
        <v>3391</v>
      </c>
      <c r="P1054" s="132" t="s">
        <v>3567</v>
      </c>
      <c r="Q1054" s="132" t="s">
        <v>3507</v>
      </c>
      <c r="R1054" s="132" t="s">
        <v>1108</v>
      </c>
    </row>
    <row r="1055" spans="1:18" x14ac:dyDescent="0.2">
      <c r="A1055" t="s">
        <v>311</v>
      </c>
      <c r="B1055" s="141">
        <f t="shared" si="16"/>
        <v>14.41</v>
      </c>
      <c r="C1055" s="280">
        <v>45751</v>
      </c>
      <c r="D1055" s="279">
        <v>45756</v>
      </c>
      <c r="E1055" s="279">
        <v>45756</v>
      </c>
      <c r="F1055" s="132"/>
      <c r="G1055" s="132" t="s">
        <v>1108</v>
      </c>
      <c r="H1055" s="132" t="s">
        <v>373</v>
      </c>
      <c r="I1055" s="132" t="s">
        <v>1100</v>
      </c>
      <c r="J1055" s="132" t="s">
        <v>3399</v>
      </c>
      <c r="K1055" s="132" t="s">
        <v>3408</v>
      </c>
      <c r="L1055" s="132" t="s">
        <v>1314</v>
      </c>
      <c r="M1055" s="132" t="s">
        <v>3568</v>
      </c>
      <c r="N1055" s="132" t="s">
        <v>1117</v>
      </c>
      <c r="O1055" s="132" t="s">
        <v>3391</v>
      </c>
      <c r="P1055" s="132" t="s">
        <v>3569</v>
      </c>
      <c r="Q1055" s="132" t="s">
        <v>3507</v>
      </c>
      <c r="R1055" s="132" t="s">
        <v>1108</v>
      </c>
    </row>
    <row r="1056" spans="1:18" x14ac:dyDescent="0.2">
      <c r="A1056" t="s">
        <v>311</v>
      </c>
      <c r="B1056" s="141">
        <f t="shared" si="16"/>
        <v>14.32</v>
      </c>
      <c r="C1056" s="280">
        <v>45751</v>
      </c>
      <c r="D1056" s="279">
        <v>45756</v>
      </c>
      <c r="E1056" s="279">
        <v>45756</v>
      </c>
      <c r="F1056" s="132"/>
      <c r="G1056" s="132" t="s">
        <v>1108</v>
      </c>
      <c r="H1056" s="132" t="s">
        <v>373</v>
      </c>
      <c r="I1056" s="132" t="s">
        <v>1100</v>
      </c>
      <c r="J1056" s="132" t="s">
        <v>3399</v>
      </c>
      <c r="K1056" s="132" t="s">
        <v>3400</v>
      </c>
      <c r="L1056" s="132" t="s">
        <v>1190</v>
      </c>
      <c r="M1056" s="132" t="s">
        <v>3570</v>
      </c>
      <c r="N1056" s="132" t="s">
        <v>1112</v>
      </c>
      <c r="O1056" s="132" t="s">
        <v>3391</v>
      </c>
      <c r="P1056" s="132" t="s">
        <v>3571</v>
      </c>
      <c r="Q1056" s="132" t="s">
        <v>3507</v>
      </c>
      <c r="R1056" s="132" t="s">
        <v>1108</v>
      </c>
    </row>
    <row r="1057" spans="1:18" x14ac:dyDescent="0.2">
      <c r="A1057" t="s">
        <v>311</v>
      </c>
      <c r="B1057" s="141">
        <f t="shared" si="16"/>
        <v>34.03</v>
      </c>
      <c r="C1057" s="280">
        <v>45751</v>
      </c>
      <c r="D1057" s="279">
        <v>45756</v>
      </c>
      <c r="E1057" s="279">
        <v>45756</v>
      </c>
      <c r="F1057" s="132"/>
      <c r="G1057" s="132" t="s">
        <v>3572</v>
      </c>
      <c r="H1057" s="132" t="s">
        <v>373</v>
      </c>
      <c r="I1057" s="132" t="s">
        <v>1100</v>
      </c>
      <c r="J1057" s="132" t="s">
        <v>3477</v>
      </c>
      <c r="K1057" s="132" t="s">
        <v>3478</v>
      </c>
      <c r="L1057" s="132" t="s">
        <v>3479</v>
      </c>
      <c r="M1057" s="132" t="s">
        <v>3573</v>
      </c>
      <c r="N1057" s="132" t="s">
        <v>1105</v>
      </c>
      <c r="O1057" s="132" t="s">
        <v>3391</v>
      </c>
      <c r="P1057" s="132" t="s">
        <v>3574</v>
      </c>
      <c r="Q1057" s="132" t="s">
        <v>3507</v>
      </c>
      <c r="R1057" s="132" t="s">
        <v>1108</v>
      </c>
    </row>
    <row r="1058" spans="1:18" x14ac:dyDescent="0.2">
      <c r="A1058" t="s">
        <v>311</v>
      </c>
      <c r="B1058" s="141">
        <f t="shared" si="16"/>
        <v>24.22</v>
      </c>
      <c r="C1058" s="280">
        <v>45751</v>
      </c>
      <c r="D1058" s="279">
        <v>45756</v>
      </c>
      <c r="E1058" s="279">
        <v>45756</v>
      </c>
      <c r="F1058" s="132"/>
      <c r="G1058" s="132" t="s">
        <v>3575</v>
      </c>
      <c r="H1058" s="132" t="s">
        <v>373</v>
      </c>
      <c r="I1058" s="132" t="s">
        <v>1100</v>
      </c>
      <c r="J1058" s="132" t="s">
        <v>3430</v>
      </c>
      <c r="K1058" s="132" t="s">
        <v>1706</v>
      </c>
      <c r="L1058" s="132" t="s">
        <v>3459</v>
      </c>
      <c r="M1058" s="281" t="s">
        <v>3576</v>
      </c>
      <c r="N1058" s="132" t="s">
        <v>1105</v>
      </c>
      <c r="O1058" s="132" t="s">
        <v>3391</v>
      </c>
      <c r="P1058" s="132" t="s">
        <v>3577</v>
      </c>
      <c r="Q1058" s="132" t="s">
        <v>3507</v>
      </c>
      <c r="R1058" s="132" t="s">
        <v>1108</v>
      </c>
    </row>
    <row r="1059" spans="1:18" x14ac:dyDescent="0.2">
      <c r="A1059" t="s">
        <v>311</v>
      </c>
      <c r="B1059" s="141">
        <f t="shared" si="16"/>
        <v>24.22</v>
      </c>
      <c r="C1059" s="280">
        <v>45751</v>
      </c>
      <c r="D1059" s="279">
        <v>45756</v>
      </c>
      <c r="E1059" s="279">
        <v>45756</v>
      </c>
      <c r="F1059" s="132"/>
      <c r="G1059" s="132" t="s">
        <v>1108</v>
      </c>
      <c r="H1059" s="132" t="s">
        <v>373</v>
      </c>
      <c r="I1059" s="132" t="s">
        <v>1100</v>
      </c>
      <c r="J1059" s="132" t="s">
        <v>3430</v>
      </c>
      <c r="K1059" s="132" t="s">
        <v>1706</v>
      </c>
      <c r="L1059" s="132" t="s">
        <v>3459</v>
      </c>
      <c r="M1059" s="132" t="s">
        <v>3578</v>
      </c>
      <c r="N1059" s="132" t="s">
        <v>1117</v>
      </c>
      <c r="O1059" s="132" t="s">
        <v>3391</v>
      </c>
      <c r="P1059" s="132" t="s">
        <v>3579</v>
      </c>
      <c r="Q1059" s="132" t="s">
        <v>3507</v>
      </c>
      <c r="R1059" s="132" t="s">
        <v>1108</v>
      </c>
    </row>
    <row r="1060" spans="1:18" x14ac:dyDescent="0.2">
      <c r="A1060" t="s">
        <v>311</v>
      </c>
      <c r="B1060" s="141">
        <f t="shared" si="16"/>
        <v>14.32</v>
      </c>
      <c r="C1060" s="280">
        <v>45751</v>
      </c>
      <c r="D1060" s="279">
        <v>45756</v>
      </c>
      <c r="E1060" s="279">
        <v>45756</v>
      </c>
      <c r="F1060" s="132"/>
      <c r="G1060" s="132" t="s">
        <v>1108</v>
      </c>
      <c r="H1060" s="132" t="s">
        <v>373</v>
      </c>
      <c r="I1060" s="132" t="s">
        <v>1100</v>
      </c>
      <c r="J1060" s="132" t="s">
        <v>3399</v>
      </c>
      <c r="K1060" s="132" t="s">
        <v>3400</v>
      </c>
      <c r="L1060" s="132" t="s">
        <v>1190</v>
      </c>
      <c r="M1060" s="132" t="s">
        <v>3580</v>
      </c>
      <c r="N1060" s="132" t="s">
        <v>1112</v>
      </c>
      <c r="O1060" s="132" t="s">
        <v>3391</v>
      </c>
      <c r="P1060" s="132" t="s">
        <v>3581</v>
      </c>
      <c r="Q1060" s="132" t="s">
        <v>3507</v>
      </c>
      <c r="R1060" s="132" t="s">
        <v>1108</v>
      </c>
    </row>
    <row r="1061" spans="1:18" x14ac:dyDescent="0.2">
      <c r="A1061" t="s">
        <v>311</v>
      </c>
      <c r="B1061" s="141">
        <f t="shared" si="16"/>
        <v>14.41</v>
      </c>
      <c r="C1061" s="280">
        <v>45751</v>
      </c>
      <c r="D1061" s="279">
        <v>45756</v>
      </c>
      <c r="E1061" s="279">
        <v>45756</v>
      </c>
      <c r="F1061" s="132"/>
      <c r="G1061" s="132" t="s">
        <v>1473</v>
      </c>
      <c r="H1061" s="132" t="s">
        <v>373</v>
      </c>
      <c r="I1061" s="132" t="s">
        <v>1100</v>
      </c>
      <c r="J1061" s="132" t="s">
        <v>3399</v>
      </c>
      <c r="K1061" s="132" t="s">
        <v>3408</v>
      </c>
      <c r="L1061" s="132" t="s">
        <v>1314</v>
      </c>
      <c r="M1061" s="132" t="s">
        <v>3582</v>
      </c>
      <c r="N1061" s="132" t="s">
        <v>1105</v>
      </c>
      <c r="O1061" s="132" t="s">
        <v>3391</v>
      </c>
      <c r="P1061" s="132" t="s">
        <v>3583</v>
      </c>
      <c r="Q1061" s="132" t="s">
        <v>3507</v>
      </c>
      <c r="R1061" s="132" t="s">
        <v>1108</v>
      </c>
    </row>
    <row r="1062" spans="1:18" x14ac:dyDescent="0.2">
      <c r="A1062" t="s">
        <v>311</v>
      </c>
      <c r="B1062" s="141">
        <f t="shared" si="16"/>
        <v>14.32</v>
      </c>
      <c r="C1062" s="280">
        <v>45751</v>
      </c>
      <c r="D1062" s="279">
        <v>45756</v>
      </c>
      <c r="E1062" s="279">
        <v>45756</v>
      </c>
      <c r="F1062" s="132"/>
      <c r="G1062" s="132" t="s">
        <v>1108</v>
      </c>
      <c r="H1062" s="132" t="s">
        <v>373</v>
      </c>
      <c r="I1062" s="132" t="s">
        <v>1100</v>
      </c>
      <c r="J1062" s="132" t="s">
        <v>3399</v>
      </c>
      <c r="K1062" s="132" t="s">
        <v>3400</v>
      </c>
      <c r="L1062" s="132" t="s">
        <v>1190</v>
      </c>
      <c r="M1062" s="132" t="s">
        <v>3584</v>
      </c>
      <c r="N1062" s="132" t="s">
        <v>1112</v>
      </c>
      <c r="O1062" s="132" t="s">
        <v>3391</v>
      </c>
      <c r="P1062" s="132" t="s">
        <v>3585</v>
      </c>
      <c r="Q1062" s="132" t="s">
        <v>3507</v>
      </c>
      <c r="R1062" s="132" t="s">
        <v>1108</v>
      </c>
    </row>
    <row r="1063" spans="1:18" x14ac:dyDescent="0.2">
      <c r="A1063" t="s">
        <v>311</v>
      </c>
      <c r="B1063" s="141">
        <f t="shared" si="16"/>
        <v>14.41</v>
      </c>
      <c r="C1063" s="280">
        <v>45751</v>
      </c>
      <c r="D1063" s="279">
        <v>45756</v>
      </c>
      <c r="E1063" s="279">
        <v>45756</v>
      </c>
      <c r="F1063" s="132"/>
      <c r="G1063" s="132" t="s">
        <v>3586</v>
      </c>
      <c r="H1063" s="132" t="s">
        <v>373</v>
      </c>
      <c r="I1063" s="132" t="s">
        <v>1100</v>
      </c>
      <c r="J1063" s="132" t="s">
        <v>3399</v>
      </c>
      <c r="K1063" s="132" t="s">
        <v>3408</v>
      </c>
      <c r="L1063" s="132" t="s">
        <v>1314</v>
      </c>
      <c r="M1063" s="132" t="s">
        <v>3587</v>
      </c>
      <c r="N1063" s="132" t="s">
        <v>1105</v>
      </c>
      <c r="O1063" s="132" t="s">
        <v>3391</v>
      </c>
      <c r="P1063" s="132" t="s">
        <v>3588</v>
      </c>
      <c r="Q1063" s="132" t="s">
        <v>3507</v>
      </c>
      <c r="R1063" s="132" t="s">
        <v>1108</v>
      </c>
    </row>
    <row r="1064" spans="1:18" x14ac:dyDescent="0.2">
      <c r="A1064" t="s">
        <v>311</v>
      </c>
      <c r="B1064" s="141">
        <f t="shared" si="16"/>
        <v>24.07</v>
      </c>
      <c r="C1064" s="280">
        <v>45751</v>
      </c>
      <c r="D1064" s="279">
        <v>45756</v>
      </c>
      <c r="E1064" s="279">
        <v>45756</v>
      </c>
      <c r="F1064" s="132"/>
      <c r="G1064" s="132" t="s">
        <v>1108</v>
      </c>
      <c r="H1064" s="132" t="s">
        <v>373</v>
      </c>
      <c r="I1064" s="132" t="s">
        <v>1100</v>
      </c>
      <c r="J1064" s="132" t="s">
        <v>3430</v>
      </c>
      <c r="K1064" s="132" t="s">
        <v>3431</v>
      </c>
      <c r="L1064" s="132" t="s">
        <v>3432</v>
      </c>
      <c r="M1064" s="132" t="s">
        <v>3589</v>
      </c>
      <c r="N1064" s="132" t="s">
        <v>1112</v>
      </c>
      <c r="O1064" s="132" t="s">
        <v>3391</v>
      </c>
      <c r="P1064" s="132" t="s">
        <v>3590</v>
      </c>
      <c r="Q1064" s="132" t="s">
        <v>3507</v>
      </c>
      <c r="R1064" s="132" t="s">
        <v>1108</v>
      </c>
    </row>
    <row r="1065" spans="1:18" x14ac:dyDescent="0.2">
      <c r="A1065" t="s">
        <v>311</v>
      </c>
      <c r="B1065" s="141">
        <f t="shared" si="16"/>
        <v>14.32</v>
      </c>
      <c r="C1065" s="280">
        <v>45751</v>
      </c>
      <c r="D1065" s="279">
        <v>45756</v>
      </c>
      <c r="E1065" s="279">
        <v>45756</v>
      </c>
      <c r="F1065" s="132"/>
      <c r="G1065" s="132" t="s">
        <v>1108</v>
      </c>
      <c r="H1065" s="132" t="s">
        <v>373</v>
      </c>
      <c r="I1065" s="132" t="s">
        <v>1100</v>
      </c>
      <c r="J1065" s="132" t="s">
        <v>3399</v>
      </c>
      <c r="K1065" s="132" t="s">
        <v>3400</v>
      </c>
      <c r="L1065" s="132" t="s">
        <v>1190</v>
      </c>
      <c r="M1065" s="132" t="s">
        <v>3591</v>
      </c>
      <c r="N1065" s="132" t="s">
        <v>1112</v>
      </c>
      <c r="O1065" s="132" t="s">
        <v>3391</v>
      </c>
      <c r="P1065" s="132" t="s">
        <v>3592</v>
      </c>
      <c r="Q1065" s="132" t="s">
        <v>3507</v>
      </c>
      <c r="R1065" s="132" t="s">
        <v>1108</v>
      </c>
    </row>
    <row r="1066" spans="1:18" x14ac:dyDescent="0.2">
      <c r="A1066" t="s">
        <v>311</v>
      </c>
      <c r="B1066" s="141">
        <f t="shared" si="16"/>
        <v>14.41</v>
      </c>
      <c r="C1066" s="280">
        <v>45751</v>
      </c>
      <c r="D1066" s="279">
        <v>45756</v>
      </c>
      <c r="E1066" s="279">
        <v>45756</v>
      </c>
      <c r="F1066" s="132"/>
      <c r="G1066" s="132" t="s">
        <v>1330</v>
      </c>
      <c r="H1066" s="132" t="s">
        <v>373</v>
      </c>
      <c r="I1066" s="132" t="s">
        <v>1100</v>
      </c>
      <c r="J1066" s="132" t="s">
        <v>3399</v>
      </c>
      <c r="K1066" s="132" t="s">
        <v>3408</v>
      </c>
      <c r="L1066" s="132" t="s">
        <v>1314</v>
      </c>
      <c r="M1066" s="132" t="s">
        <v>3593</v>
      </c>
      <c r="N1066" s="132" t="s">
        <v>1105</v>
      </c>
      <c r="O1066" s="132" t="s">
        <v>3391</v>
      </c>
      <c r="P1066" s="132" t="s">
        <v>3594</v>
      </c>
      <c r="Q1066" s="132" t="s">
        <v>3507</v>
      </c>
      <c r="R1066" s="132" t="s">
        <v>1108</v>
      </c>
    </row>
    <row r="1067" spans="1:18" x14ac:dyDescent="0.2">
      <c r="A1067" t="s">
        <v>311</v>
      </c>
      <c r="B1067" s="141">
        <f t="shared" si="16"/>
        <v>24.07</v>
      </c>
      <c r="C1067" s="280">
        <v>45751</v>
      </c>
      <c r="D1067" s="279">
        <v>45756</v>
      </c>
      <c r="E1067" s="279">
        <v>45756</v>
      </c>
      <c r="F1067" s="132"/>
      <c r="G1067" s="132" t="s">
        <v>1108</v>
      </c>
      <c r="H1067" s="132" t="s">
        <v>373</v>
      </c>
      <c r="I1067" s="132" t="s">
        <v>1100</v>
      </c>
      <c r="J1067" s="132" t="s">
        <v>3430</v>
      </c>
      <c r="K1067" s="132" t="s">
        <v>3431</v>
      </c>
      <c r="L1067" s="132" t="s">
        <v>3432</v>
      </c>
      <c r="M1067" s="132" t="s">
        <v>3595</v>
      </c>
      <c r="N1067" s="132" t="s">
        <v>1112</v>
      </c>
      <c r="O1067" s="132" t="s">
        <v>3391</v>
      </c>
      <c r="P1067" s="132" t="s">
        <v>3596</v>
      </c>
      <c r="Q1067" s="132" t="s">
        <v>3507</v>
      </c>
      <c r="R1067" s="132" t="s">
        <v>1108</v>
      </c>
    </row>
    <row r="1068" spans="1:18" x14ac:dyDescent="0.2">
      <c r="A1068" t="s">
        <v>311</v>
      </c>
      <c r="B1068" s="141">
        <f t="shared" si="16"/>
        <v>14.32</v>
      </c>
      <c r="C1068" s="280">
        <v>45751</v>
      </c>
      <c r="D1068" s="279">
        <v>45756</v>
      </c>
      <c r="E1068" s="279">
        <v>45756</v>
      </c>
      <c r="F1068" s="132"/>
      <c r="G1068" s="132" t="s">
        <v>1108</v>
      </c>
      <c r="H1068" s="132" t="s">
        <v>373</v>
      </c>
      <c r="I1068" s="132" t="s">
        <v>1100</v>
      </c>
      <c r="J1068" s="132" t="s">
        <v>3399</v>
      </c>
      <c r="K1068" s="132" t="s">
        <v>3400</v>
      </c>
      <c r="L1068" s="132" t="s">
        <v>1190</v>
      </c>
      <c r="M1068" s="132" t="s">
        <v>3597</v>
      </c>
      <c r="N1068" s="132" t="s">
        <v>1112</v>
      </c>
      <c r="O1068" s="132" t="s">
        <v>3391</v>
      </c>
      <c r="P1068" s="132" t="s">
        <v>3598</v>
      </c>
      <c r="Q1068" s="132" t="s">
        <v>3507</v>
      </c>
      <c r="R1068" s="132" t="s">
        <v>1108</v>
      </c>
    </row>
    <row r="1069" spans="1:18" x14ac:dyDescent="0.2">
      <c r="A1069" t="s">
        <v>311</v>
      </c>
      <c r="B1069" s="141">
        <f t="shared" si="16"/>
        <v>14.41</v>
      </c>
      <c r="C1069" s="280">
        <v>45751</v>
      </c>
      <c r="D1069" s="279">
        <v>45756</v>
      </c>
      <c r="E1069" s="279">
        <v>45756</v>
      </c>
      <c r="F1069" s="132"/>
      <c r="G1069" s="132" t="s">
        <v>1108</v>
      </c>
      <c r="H1069" s="132" t="s">
        <v>373</v>
      </c>
      <c r="I1069" s="132" t="s">
        <v>1100</v>
      </c>
      <c r="J1069" s="132" t="s">
        <v>3399</v>
      </c>
      <c r="K1069" s="132" t="s">
        <v>3408</v>
      </c>
      <c r="L1069" s="132" t="s">
        <v>1314</v>
      </c>
      <c r="M1069" s="132" t="s">
        <v>3599</v>
      </c>
      <c r="N1069" s="132" t="s">
        <v>1117</v>
      </c>
      <c r="O1069" s="132" t="s">
        <v>3391</v>
      </c>
      <c r="P1069" s="132" t="s">
        <v>3600</v>
      </c>
      <c r="Q1069" s="132" t="s">
        <v>3507</v>
      </c>
      <c r="R1069" s="132" t="s">
        <v>1108</v>
      </c>
    </row>
    <row r="1070" spans="1:18" x14ac:dyDescent="0.2">
      <c r="A1070" t="s">
        <v>311</v>
      </c>
      <c r="B1070" s="141">
        <f t="shared" si="16"/>
        <v>24.07</v>
      </c>
      <c r="C1070" s="280">
        <v>45751</v>
      </c>
      <c r="D1070" s="279">
        <v>45756</v>
      </c>
      <c r="E1070" s="279">
        <v>45756</v>
      </c>
      <c r="F1070" s="132"/>
      <c r="G1070" s="132" t="s">
        <v>1108</v>
      </c>
      <c r="H1070" s="132" t="s">
        <v>373</v>
      </c>
      <c r="I1070" s="132" t="s">
        <v>1100</v>
      </c>
      <c r="J1070" s="132" t="s">
        <v>3430</v>
      </c>
      <c r="K1070" s="132" t="s">
        <v>3431</v>
      </c>
      <c r="L1070" s="132" t="s">
        <v>3432</v>
      </c>
      <c r="M1070" s="132" t="s">
        <v>3601</v>
      </c>
      <c r="N1070" s="132" t="s">
        <v>1112</v>
      </c>
      <c r="O1070" s="132" t="s">
        <v>3391</v>
      </c>
      <c r="P1070" s="132" t="s">
        <v>3602</v>
      </c>
      <c r="Q1070" s="132" t="s">
        <v>3507</v>
      </c>
      <c r="R1070" s="132" t="s">
        <v>1108</v>
      </c>
    </row>
    <row r="1071" spans="1:18" x14ac:dyDescent="0.2">
      <c r="A1071" t="s">
        <v>311</v>
      </c>
      <c r="B1071" s="141">
        <f t="shared" si="16"/>
        <v>14.32</v>
      </c>
      <c r="C1071" s="280">
        <v>45751</v>
      </c>
      <c r="D1071" s="279">
        <v>45756</v>
      </c>
      <c r="E1071" s="279">
        <v>45756</v>
      </c>
      <c r="F1071" s="132"/>
      <c r="G1071" s="132" t="s">
        <v>1108</v>
      </c>
      <c r="H1071" s="132" t="s">
        <v>373</v>
      </c>
      <c r="I1071" s="132" t="s">
        <v>1100</v>
      </c>
      <c r="J1071" s="132" t="s">
        <v>3399</v>
      </c>
      <c r="K1071" s="132" t="s">
        <v>3400</v>
      </c>
      <c r="L1071" s="132" t="s">
        <v>1190</v>
      </c>
      <c r="M1071" s="132" t="s">
        <v>3603</v>
      </c>
      <c r="N1071" s="132" t="s">
        <v>1112</v>
      </c>
      <c r="O1071" s="132" t="s">
        <v>3391</v>
      </c>
      <c r="P1071" s="132" t="s">
        <v>3604</v>
      </c>
      <c r="Q1071" s="132" t="s">
        <v>3507</v>
      </c>
      <c r="R1071" s="132" t="s">
        <v>1108</v>
      </c>
    </row>
    <row r="1072" spans="1:18" x14ac:dyDescent="0.2">
      <c r="A1072" t="s">
        <v>311</v>
      </c>
      <c r="B1072" s="141">
        <f t="shared" si="16"/>
        <v>24.07</v>
      </c>
      <c r="C1072" s="280">
        <v>45751</v>
      </c>
      <c r="D1072" s="279">
        <v>45756</v>
      </c>
      <c r="E1072" s="279">
        <v>45756</v>
      </c>
      <c r="F1072" s="132"/>
      <c r="G1072" s="132" t="s">
        <v>1108</v>
      </c>
      <c r="H1072" s="132" t="s">
        <v>373</v>
      </c>
      <c r="I1072" s="132" t="s">
        <v>1100</v>
      </c>
      <c r="J1072" s="132" t="s">
        <v>3430</v>
      </c>
      <c r="K1072" s="132" t="s">
        <v>3431</v>
      </c>
      <c r="L1072" s="132" t="s">
        <v>3432</v>
      </c>
      <c r="M1072" s="132" t="s">
        <v>3605</v>
      </c>
      <c r="N1072" s="132" t="s">
        <v>1112</v>
      </c>
      <c r="O1072" s="132" t="s">
        <v>3391</v>
      </c>
      <c r="P1072" s="281" t="s">
        <v>3606</v>
      </c>
      <c r="Q1072" s="132" t="s">
        <v>3507</v>
      </c>
      <c r="R1072" s="132" t="s">
        <v>1108</v>
      </c>
    </row>
    <row r="1073" spans="1:18" x14ac:dyDescent="0.2">
      <c r="A1073" t="s">
        <v>311</v>
      </c>
      <c r="B1073" s="141">
        <f t="shared" si="16"/>
        <v>14.32</v>
      </c>
      <c r="C1073" s="280">
        <v>45751</v>
      </c>
      <c r="D1073" s="279">
        <v>45756</v>
      </c>
      <c r="E1073" s="279">
        <v>45756</v>
      </c>
      <c r="F1073" s="132"/>
      <c r="G1073" s="132" t="s">
        <v>1108</v>
      </c>
      <c r="H1073" s="132" t="s">
        <v>373</v>
      </c>
      <c r="I1073" s="132" t="s">
        <v>1100</v>
      </c>
      <c r="J1073" s="132" t="s">
        <v>3399</v>
      </c>
      <c r="K1073" s="132" t="s">
        <v>3400</v>
      </c>
      <c r="L1073" s="132" t="s">
        <v>1190</v>
      </c>
      <c r="M1073" s="132" t="s">
        <v>3607</v>
      </c>
      <c r="N1073" s="132" t="s">
        <v>1112</v>
      </c>
      <c r="O1073" s="132" t="s">
        <v>3391</v>
      </c>
      <c r="P1073" s="132" t="s">
        <v>3608</v>
      </c>
      <c r="Q1073" s="132" t="s">
        <v>3507</v>
      </c>
      <c r="R1073" s="132" t="s">
        <v>1108</v>
      </c>
    </row>
    <row r="1074" spans="1:18" x14ac:dyDescent="0.2">
      <c r="A1074" t="s">
        <v>311</v>
      </c>
      <c r="B1074" s="141">
        <f t="shared" si="16"/>
        <v>14.32</v>
      </c>
      <c r="C1074" s="280">
        <v>45751</v>
      </c>
      <c r="D1074" s="279">
        <v>45756</v>
      </c>
      <c r="E1074" s="279">
        <v>45756</v>
      </c>
      <c r="F1074" s="132"/>
      <c r="G1074" s="132" t="s">
        <v>1108</v>
      </c>
      <c r="H1074" s="132" t="s">
        <v>373</v>
      </c>
      <c r="I1074" s="132" t="s">
        <v>1100</v>
      </c>
      <c r="J1074" s="132" t="s">
        <v>3399</v>
      </c>
      <c r="K1074" s="132" t="s">
        <v>3400</v>
      </c>
      <c r="L1074" s="132" t="s">
        <v>1190</v>
      </c>
      <c r="M1074" s="132" t="s">
        <v>3609</v>
      </c>
      <c r="N1074" s="132" t="s">
        <v>1112</v>
      </c>
      <c r="O1074" s="132" t="s">
        <v>3391</v>
      </c>
      <c r="P1074" s="132" t="s">
        <v>3610</v>
      </c>
      <c r="Q1074" s="132" t="s">
        <v>3507</v>
      </c>
      <c r="R1074" s="132" t="s">
        <v>1108</v>
      </c>
    </row>
    <row r="1075" spans="1:18" x14ac:dyDescent="0.2">
      <c r="A1075" t="s">
        <v>311</v>
      </c>
      <c r="B1075" s="141">
        <f t="shared" si="16"/>
        <v>14.32</v>
      </c>
      <c r="C1075" s="280">
        <v>45751</v>
      </c>
      <c r="D1075" s="279">
        <v>45756</v>
      </c>
      <c r="E1075" s="279">
        <v>45756</v>
      </c>
      <c r="F1075" s="132"/>
      <c r="G1075" s="132" t="s">
        <v>1108</v>
      </c>
      <c r="H1075" s="132" t="s">
        <v>373</v>
      </c>
      <c r="I1075" s="132" t="s">
        <v>1100</v>
      </c>
      <c r="J1075" s="132" t="s">
        <v>3399</v>
      </c>
      <c r="K1075" s="132" t="s">
        <v>3400</v>
      </c>
      <c r="L1075" s="132" t="s">
        <v>1190</v>
      </c>
      <c r="M1075" s="132" t="s">
        <v>3611</v>
      </c>
      <c r="N1075" s="132" t="s">
        <v>1112</v>
      </c>
      <c r="O1075" s="132" t="s">
        <v>3391</v>
      </c>
      <c r="P1075" s="132" t="s">
        <v>3612</v>
      </c>
      <c r="Q1075" s="132" t="s">
        <v>3507</v>
      </c>
      <c r="R1075" s="132" t="s">
        <v>1108</v>
      </c>
    </row>
    <row r="1076" spans="1:18" x14ac:dyDescent="0.2">
      <c r="A1076" t="s">
        <v>252</v>
      </c>
      <c r="B1076" s="141">
        <f t="shared" si="16"/>
        <v>5.1000000000000005</v>
      </c>
      <c r="C1076" s="280">
        <v>45754</v>
      </c>
      <c r="D1076" s="279">
        <v>45757</v>
      </c>
      <c r="E1076" s="279">
        <v>45757</v>
      </c>
      <c r="F1076" s="132"/>
      <c r="G1076" s="132" t="s">
        <v>1108</v>
      </c>
      <c r="H1076" s="132" t="s">
        <v>373</v>
      </c>
      <c r="I1076" s="132" t="s">
        <v>1100</v>
      </c>
      <c r="J1076" s="132" t="s">
        <v>1654</v>
      </c>
      <c r="K1076" s="132" t="s">
        <v>1655</v>
      </c>
      <c r="L1076" s="132" t="s">
        <v>1656</v>
      </c>
      <c r="M1076" s="132" t="s">
        <v>3613</v>
      </c>
      <c r="N1076" s="132" t="s">
        <v>1117</v>
      </c>
      <c r="O1076" s="132" t="s">
        <v>3391</v>
      </c>
      <c r="P1076" s="132" t="s">
        <v>3614</v>
      </c>
      <c r="Q1076" s="132" t="s">
        <v>3615</v>
      </c>
      <c r="R1076" s="132" t="s">
        <v>1108</v>
      </c>
    </row>
    <row r="1077" spans="1:18" x14ac:dyDescent="0.2">
      <c r="A1077" t="s">
        <v>252</v>
      </c>
      <c r="B1077" s="141">
        <f t="shared" si="16"/>
        <v>5.1000000000000005</v>
      </c>
      <c r="C1077" s="280">
        <v>45754</v>
      </c>
      <c r="D1077" s="279">
        <v>45757</v>
      </c>
      <c r="E1077" s="279">
        <v>45757</v>
      </c>
      <c r="F1077" s="132"/>
      <c r="G1077" s="132" t="s">
        <v>1108</v>
      </c>
      <c r="H1077" s="132" t="s">
        <v>373</v>
      </c>
      <c r="I1077" s="132" t="s">
        <v>1100</v>
      </c>
      <c r="J1077" s="132" t="s">
        <v>1654</v>
      </c>
      <c r="K1077" s="132" t="s">
        <v>1655</v>
      </c>
      <c r="L1077" s="132" t="s">
        <v>1656</v>
      </c>
      <c r="M1077" s="132" t="s">
        <v>3616</v>
      </c>
      <c r="N1077" s="132" t="s">
        <v>1117</v>
      </c>
      <c r="O1077" s="132" t="s">
        <v>3391</v>
      </c>
      <c r="P1077" s="132" t="s">
        <v>3617</v>
      </c>
      <c r="Q1077" s="132" t="s">
        <v>3615</v>
      </c>
      <c r="R1077" s="132" t="s">
        <v>1108</v>
      </c>
    </row>
    <row r="1078" spans="1:18" x14ac:dyDescent="0.2">
      <c r="A1078" t="s">
        <v>252</v>
      </c>
      <c r="B1078" s="141">
        <f t="shared" si="16"/>
        <v>5.1000000000000005</v>
      </c>
      <c r="C1078" s="280">
        <v>45754</v>
      </c>
      <c r="D1078" s="279">
        <v>45757</v>
      </c>
      <c r="E1078" s="279">
        <v>45757</v>
      </c>
      <c r="F1078" s="132"/>
      <c r="G1078" s="132" t="s">
        <v>1108</v>
      </c>
      <c r="H1078" s="132" t="s">
        <v>373</v>
      </c>
      <c r="I1078" s="132" t="s">
        <v>1100</v>
      </c>
      <c r="J1078" s="132" t="s">
        <v>1654</v>
      </c>
      <c r="K1078" s="132" t="s">
        <v>1655</v>
      </c>
      <c r="L1078" s="132" t="s">
        <v>1656</v>
      </c>
      <c r="M1078" s="132" t="s">
        <v>3618</v>
      </c>
      <c r="N1078" s="132" t="s">
        <v>1117</v>
      </c>
      <c r="O1078" s="132" t="s">
        <v>3391</v>
      </c>
      <c r="P1078" s="132" t="s">
        <v>3619</v>
      </c>
      <c r="Q1078" s="132" t="s">
        <v>3615</v>
      </c>
      <c r="R1078" s="132" t="s">
        <v>1108</v>
      </c>
    </row>
    <row r="1079" spans="1:18" x14ac:dyDescent="0.2">
      <c r="A1079" t="s">
        <v>252</v>
      </c>
      <c r="B1079" s="141">
        <f t="shared" ref="B1079:B1142" si="17">_xlfn.NUMBERVALUE(L1079)*0.01</f>
        <v>5.1000000000000005</v>
      </c>
      <c r="C1079" s="280">
        <v>45754</v>
      </c>
      <c r="D1079" s="279">
        <v>45757</v>
      </c>
      <c r="E1079" s="279">
        <v>45757</v>
      </c>
      <c r="F1079" s="132"/>
      <c r="G1079" s="132" t="s">
        <v>1108</v>
      </c>
      <c r="H1079" s="132" t="s">
        <v>373</v>
      </c>
      <c r="I1079" s="132" t="s">
        <v>1100</v>
      </c>
      <c r="J1079" s="132" t="s">
        <v>1654</v>
      </c>
      <c r="K1079" s="132" t="s">
        <v>1655</v>
      </c>
      <c r="L1079" s="132" t="s">
        <v>1656</v>
      </c>
      <c r="M1079" s="132" t="s">
        <v>3620</v>
      </c>
      <c r="N1079" s="132" t="s">
        <v>1117</v>
      </c>
      <c r="O1079" s="132" t="s">
        <v>3391</v>
      </c>
      <c r="P1079" s="132" t="s">
        <v>3621</v>
      </c>
      <c r="Q1079" s="132" t="s">
        <v>3615</v>
      </c>
      <c r="R1079" s="132" t="s">
        <v>1108</v>
      </c>
    </row>
    <row r="1080" spans="1:18" x14ac:dyDescent="0.2">
      <c r="A1080" t="s">
        <v>252</v>
      </c>
      <c r="B1080" s="141">
        <f t="shared" si="17"/>
        <v>5.1000000000000005</v>
      </c>
      <c r="C1080" s="280">
        <v>45754</v>
      </c>
      <c r="D1080" s="279">
        <v>45757</v>
      </c>
      <c r="E1080" s="279">
        <v>45757</v>
      </c>
      <c r="F1080" s="132"/>
      <c r="G1080" s="132" t="s">
        <v>807</v>
      </c>
      <c r="H1080" s="132" t="s">
        <v>373</v>
      </c>
      <c r="I1080" s="132" t="s">
        <v>1100</v>
      </c>
      <c r="J1080" s="132" t="s">
        <v>1654</v>
      </c>
      <c r="K1080" s="132" t="s">
        <v>1655</v>
      </c>
      <c r="L1080" s="132" t="s">
        <v>1656</v>
      </c>
      <c r="M1080" s="132" t="s">
        <v>3622</v>
      </c>
      <c r="N1080" s="132" t="s">
        <v>1105</v>
      </c>
      <c r="O1080" s="132" t="s">
        <v>3391</v>
      </c>
      <c r="P1080" s="132" t="s">
        <v>3623</v>
      </c>
      <c r="Q1080" s="132" t="s">
        <v>3615</v>
      </c>
      <c r="R1080" s="132" t="s">
        <v>1108</v>
      </c>
    </row>
    <row r="1081" spans="1:18" x14ac:dyDescent="0.2">
      <c r="A1081" t="s">
        <v>252</v>
      </c>
      <c r="B1081" s="141">
        <f t="shared" si="17"/>
        <v>5.1000000000000005</v>
      </c>
      <c r="C1081" s="280">
        <v>45754</v>
      </c>
      <c r="D1081" s="279">
        <v>45757</v>
      </c>
      <c r="E1081" s="279">
        <v>45757</v>
      </c>
      <c r="F1081" s="132"/>
      <c r="G1081" s="132" t="s">
        <v>3624</v>
      </c>
      <c r="H1081" s="132" t="s">
        <v>373</v>
      </c>
      <c r="I1081" s="132" t="s">
        <v>1100</v>
      </c>
      <c r="J1081" s="132" t="s">
        <v>1654</v>
      </c>
      <c r="K1081" s="132" t="s">
        <v>1655</v>
      </c>
      <c r="L1081" s="132" t="s">
        <v>1656</v>
      </c>
      <c r="M1081" s="132" t="s">
        <v>3625</v>
      </c>
      <c r="N1081" s="132" t="s">
        <v>1105</v>
      </c>
      <c r="O1081" s="132" t="s">
        <v>3391</v>
      </c>
      <c r="P1081" s="132" t="s">
        <v>3626</v>
      </c>
      <c r="Q1081" s="132" t="s">
        <v>3615</v>
      </c>
      <c r="R1081" s="132" t="s">
        <v>1108</v>
      </c>
    </row>
    <row r="1082" spans="1:18" x14ac:dyDescent="0.2">
      <c r="A1082" t="s">
        <v>253</v>
      </c>
      <c r="B1082" s="141">
        <f t="shared" si="17"/>
        <v>7.0600000000000005</v>
      </c>
      <c r="C1082" s="280">
        <v>45755</v>
      </c>
      <c r="D1082" s="279">
        <v>45758</v>
      </c>
      <c r="E1082" s="279">
        <v>45758</v>
      </c>
      <c r="F1082" s="132"/>
      <c r="G1082" s="132" t="s">
        <v>1108</v>
      </c>
      <c r="H1082" s="132" t="s">
        <v>373</v>
      </c>
      <c r="I1082" s="132" t="s">
        <v>1100</v>
      </c>
      <c r="J1082" s="132" t="s">
        <v>3627</v>
      </c>
      <c r="K1082" s="132" t="s">
        <v>3628</v>
      </c>
      <c r="L1082" s="132" t="s">
        <v>3629</v>
      </c>
      <c r="M1082" s="132" t="s">
        <v>3630</v>
      </c>
      <c r="N1082" s="132" t="s">
        <v>1117</v>
      </c>
      <c r="O1082" s="132" t="s">
        <v>3391</v>
      </c>
      <c r="P1082" s="132" t="s">
        <v>3631</v>
      </c>
      <c r="Q1082" s="132" t="s">
        <v>3632</v>
      </c>
      <c r="R1082" s="132" t="s">
        <v>1108</v>
      </c>
    </row>
    <row r="1083" spans="1:18" x14ac:dyDescent="0.2">
      <c r="A1083" t="s">
        <v>252</v>
      </c>
      <c r="B1083" s="141">
        <f t="shared" si="17"/>
        <v>5.0600000000000005</v>
      </c>
      <c r="C1083" s="280">
        <v>45755</v>
      </c>
      <c r="D1083" s="279">
        <v>45758</v>
      </c>
      <c r="E1083" s="279">
        <v>45758</v>
      </c>
      <c r="F1083" s="132"/>
      <c r="G1083" s="132" t="s">
        <v>1108</v>
      </c>
      <c r="H1083" s="132" t="s">
        <v>373</v>
      </c>
      <c r="I1083" s="132" t="s">
        <v>1100</v>
      </c>
      <c r="J1083" s="132" t="s">
        <v>1654</v>
      </c>
      <c r="K1083" s="132" t="s">
        <v>1102</v>
      </c>
      <c r="L1083" s="132" t="s">
        <v>1674</v>
      </c>
      <c r="M1083" s="132" t="s">
        <v>3633</v>
      </c>
      <c r="N1083" s="132" t="s">
        <v>1112</v>
      </c>
      <c r="O1083" s="132" t="s">
        <v>3391</v>
      </c>
      <c r="P1083" s="132" t="s">
        <v>3634</v>
      </c>
      <c r="Q1083" s="132" t="s">
        <v>3632</v>
      </c>
      <c r="R1083" s="132" t="s">
        <v>1108</v>
      </c>
    </row>
    <row r="1084" spans="1:18" x14ac:dyDescent="0.2">
      <c r="A1084" t="s">
        <v>252</v>
      </c>
      <c r="B1084" s="141">
        <f t="shared" si="17"/>
        <v>5.0600000000000005</v>
      </c>
      <c r="C1084" s="280">
        <v>45755</v>
      </c>
      <c r="D1084" s="279">
        <v>45758</v>
      </c>
      <c r="E1084" s="279">
        <v>45758</v>
      </c>
      <c r="F1084" s="132"/>
      <c r="G1084" s="132" t="s">
        <v>1108</v>
      </c>
      <c r="H1084" s="132" t="s">
        <v>373</v>
      </c>
      <c r="I1084" s="132" t="s">
        <v>1100</v>
      </c>
      <c r="J1084" s="132" t="s">
        <v>1654</v>
      </c>
      <c r="K1084" s="132" t="s">
        <v>1102</v>
      </c>
      <c r="L1084" s="132" t="s">
        <v>1674</v>
      </c>
      <c r="M1084" s="132" t="s">
        <v>3635</v>
      </c>
      <c r="N1084" s="132" t="s">
        <v>1112</v>
      </c>
      <c r="O1084" s="132" t="s">
        <v>3391</v>
      </c>
      <c r="P1084" s="132" t="s">
        <v>3636</v>
      </c>
      <c r="Q1084" s="132" t="s">
        <v>3632</v>
      </c>
      <c r="R1084" s="132" t="s">
        <v>1108</v>
      </c>
    </row>
    <row r="1085" spans="1:18" x14ac:dyDescent="0.2">
      <c r="A1085" t="s">
        <v>252</v>
      </c>
      <c r="B1085" s="141">
        <f t="shared" si="17"/>
        <v>5.1000000000000005</v>
      </c>
      <c r="C1085" s="280">
        <v>45755</v>
      </c>
      <c r="D1085" s="279">
        <v>45758</v>
      </c>
      <c r="E1085" s="279">
        <v>45758</v>
      </c>
      <c r="F1085" s="132"/>
      <c r="G1085" s="132" t="s">
        <v>1108</v>
      </c>
      <c r="H1085" s="132" t="s">
        <v>373</v>
      </c>
      <c r="I1085" s="132" t="s">
        <v>1100</v>
      </c>
      <c r="J1085" s="132" t="s">
        <v>1654</v>
      </c>
      <c r="K1085" s="132" t="s">
        <v>1655</v>
      </c>
      <c r="L1085" s="132" t="s">
        <v>1656</v>
      </c>
      <c r="M1085" s="132" t="s">
        <v>3637</v>
      </c>
      <c r="N1085" s="132" t="s">
        <v>1117</v>
      </c>
      <c r="O1085" s="132" t="s">
        <v>3391</v>
      </c>
      <c r="P1085" s="132" t="s">
        <v>3638</v>
      </c>
      <c r="Q1085" s="132" t="s">
        <v>3632</v>
      </c>
      <c r="R1085" s="132" t="s">
        <v>1108</v>
      </c>
    </row>
    <row r="1086" spans="1:18" x14ac:dyDescent="0.2">
      <c r="A1086" t="s">
        <v>252</v>
      </c>
      <c r="B1086" s="141">
        <f t="shared" si="17"/>
        <v>5.0600000000000005</v>
      </c>
      <c r="C1086" s="280">
        <v>45757</v>
      </c>
      <c r="D1086" s="279">
        <v>45762</v>
      </c>
      <c r="E1086" s="279">
        <v>45762</v>
      </c>
      <c r="F1086" s="132"/>
      <c r="G1086" s="132" t="s">
        <v>1108</v>
      </c>
      <c r="H1086" s="132" t="s">
        <v>373</v>
      </c>
      <c r="I1086" s="132" t="s">
        <v>1100</v>
      </c>
      <c r="J1086" s="132" t="s">
        <v>1654</v>
      </c>
      <c r="K1086" s="132" t="s">
        <v>1102</v>
      </c>
      <c r="L1086" s="132" t="s">
        <v>1674</v>
      </c>
      <c r="M1086" s="132" t="s">
        <v>3639</v>
      </c>
      <c r="N1086" s="132" t="s">
        <v>1112</v>
      </c>
      <c r="O1086" s="132" t="s">
        <v>3391</v>
      </c>
      <c r="P1086" s="132" t="s">
        <v>3640</v>
      </c>
      <c r="Q1086" s="132" t="s">
        <v>3641</v>
      </c>
      <c r="R1086" s="132" t="s">
        <v>1108</v>
      </c>
    </row>
    <row r="1087" spans="1:18" x14ac:dyDescent="0.2">
      <c r="A1087" t="s">
        <v>252</v>
      </c>
      <c r="B1087" s="141">
        <f t="shared" si="17"/>
        <v>5.1000000000000005</v>
      </c>
      <c r="C1087" s="280">
        <v>45757</v>
      </c>
      <c r="D1087" s="279">
        <v>45762</v>
      </c>
      <c r="E1087" s="279">
        <v>45762</v>
      </c>
      <c r="F1087" s="132"/>
      <c r="G1087" s="132" t="s">
        <v>1108</v>
      </c>
      <c r="H1087" s="132" t="s">
        <v>373</v>
      </c>
      <c r="I1087" s="132" t="s">
        <v>1100</v>
      </c>
      <c r="J1087" s="132" t="s">
        <v>1654</v>
      </c>
      <c r="K1087" s="132" t="s">
        <v>1655</v>
      </c>
      <c r="L1087" s="132" t="s">
        <v>1656</v>
      </c>
      <c r="M1087" s="132" t="s">
        <v>3642</v>
      </c>
      <c r="N1087" s="132" t="s">
        <v>1117</v>
      </c>
      <c r="O1087" s="132" t="s">
        <v>3391</v>
      </c>
      <c r="P1087" s="132" t="s">
        <v>3643</v>
      </c>
      <c r="Q1087" s="132" t="s">
        <v>3641</v>
      </c>
      <c r="R1087" s="132" t="s">
        <v>1108</v>
      </c>
    </row>
    <row r="1088" spans="1:18" x14ac:dyDescent="0.2">
      <c r="A1088" t="s">
        <v>252</v>
      </c>
      <c r="B1088" s="141">
        <f t="shared" si="17"/>
        <v>5.1000000000000005</v>
      </c>
      <c r="C1088" s="280">
        <v>45757</v>
      </c>
      <c r="D1088" s="279">
        <v>45762</v>
      </c>
      <c r="E1088" s="279">
        <v>45762</v>
      </c>
      <c r="F1088" s="132"/>
      <c r="G1088" s="132" t="s">
        <v>3644</v>
      </c>
      <c r="H1088" s="132" t="s">
        <v>373</v>
      </c>
      <c r="I1088" s="132" t="s">
        <v>1100</v>
      </c>
      <c r="J1088" s="132" t="s">
        <v>1654</v>
      </c>
      <c r="K1088" s="132" t="s">
        <v>1655</v>
      </c>
      <c r="L1088" s="132" t="s">
        <v>1656</v>
      </c>
      <c r="M1088" s="132" t="s">
        <v>3645</v>
      </c>
      <c r="N1088" s="132" t="s">
        <v>1105</v>
      </c>
      <c r="O1088" s="132" t="s">
        <v>3391</v>
      </c>
      <c r="P1088" s="132" t="s">
        <v>3646</v>
      </c>
      <c r="Q1088" s="132" t="s">
        <v>3641</v>
      </c>
      <c r="R1088" s="132" t="s">
        <v>1108</v>
      </c>
    </row>
    <row r="1089" spans="1:18" x14ac:dyDescent="0.2">
      <c r="A1089" t="s">
        <v>252</v>
      </c>
      <c r="B1089" s="141">
        <f t="shared" si="17"/>
        <v>5.0600000000000005</v>
      </c>
      <c r="C1089" s="280">
        <v>45757</v>
      </c>
      <c r="D1089" s="279">
        <v>45762</v>
      </c>
      <c r="E1089" s="279">
        <v>45762</v>
      </c>
      <c r="F1089" s="132"/>
      <c r="G1089" s="132" t="s">
        <v>1108</v>
      </c>
      <c r="H1089" s="132" t="s">
        <v>373</v>
      </c>
      <c r="I1089" s="132" t="s">
        <v>1100</v>
      </c>
      <c r="J1089" s="132" t="s">
        <v>1654</v>
      </c>
      <c r="K1089" s="132" t="s">
        <v>1102</v>
      </c>
      <c r="L1089" s="132" t="s">
        <v>1674</v>
      </c>
      <c r="M1089" s="132" t="s">
        <v>3647</v>
      </c>
      <c r="N1089" s="132" t="s">
        <v>1112</v>
      </c>
      <c r="O1089" s="132" t="s">
        <v>3391</v>
      </c>
      <c r="P1089" s="132" t="s">
        <v>3648</v>
      </c>
      <c r="Q1089" s="132" t="s">
        <v>3641</v>
      </c>
      <c r="R1089" s="132" t="s">
        <v>1108</v>
      </c>
    </row>
    <row r="1090" spans="1:18" x14ac:dyDescent="0.2">
      <c r="A1090" t="s">
        <v>252</v>
      </c>
      <c r="B1090" s="141">
        <f t="shared" si="17"/>
        <v>5.0600000000000005</v>
      </c>
      <c r="C1090" s="280">
        <v>45757</v>
      </c>
      <c r="D1090" s="279">
        <v>45762</v>
      </c>
      <c r="E1090" s="279">
        <v>45762</v>
      </c>
      <c r="F1090" s="132"/>
      <c r="G1090" s="132" t="s">
        <v>1108</v>
      </c>
      <c r="H1090" s="132" t="s">
        <v>373</v>
      </c>
      <c r="I1090" s="132" t="s">
        <v>1100</v>
      </c>
      <c r="J1090" s="132" t="s">
        <v>1654</v>
      </c>
      <c r="K1090" s="132" t="s">
        <v>1102</v>
      </c>
      <c r="L1090" s="132" t="s">
        <v>1674</v>
      </c>
      <c r="M1090" s="132" t="s">
        <v>3649</v>
      </c>
      <c r="N1090" s="132" t="s">
        <v>1112</v>
      </c>
      <c r="O1090" s="132" t="s">
        <v>3391</v>
      </c>
      <c r="P1090" s="132" t="s">
        <v>3650</v>
      </c>
      <c r="Q1090" s="132" t="s">
        <v>3641</v>
      </c>
      <c r="R1090" s="132" t="s">
        <v>1108</v>
      </c>
    </row>
    <row r="1091" spans="1:18" x14ac:dyDescent="0.2">
      <c r="A1091" t="s">
        <v>252</v>
      </c>
      <c r="B1091" s="141">
        <f t="shared" si="17"/>
        <v>5.1000000000000005</v>
      </c>
      <c r="C1091" s="280">
        <v>45757</v>
      </c>
      <c r="D1091" s="279">
        <v>45762</v>
      </c>
      <c r="E1091" s="279">
        <v>45762</v>
      </c>
      <c r="F1091" s="132"/>
      <c r="G1091" s="132" t="s">
        <v>1108</v>
      </c>
      <c r="H1091" s="132" t="s">
        <v>373</v>
      </c>
      <c r="I1091" s="132" t="s">
        <v>1100</v>
      </c>
      <c r="J1091" s="132" t="s">
        <v>1654</v>
      </c>
      <c r="K1091" s="132" t="s">
        <v>1655</v>
      </c>
      <c r="L1091" s="132" t="s">
        <v>1656</v>
      </c>
      <c r="M1091" s="132" t="s">
        <v>3651</v>
      </c>
      <c r="N1091" s="132" t="s">
        <v>1117</v>
      </c>
      <c r="O1091" s="132" t="s">
        <v>3391</v>
      </c>
      <c r="P1091" s="132" t="s">
        <v>3652</v>
      </c>
      <c r="Q1091" s="132" t="s">
        <v>3641</v>
      </c>
      <c r="R1091" s="132" t="s">
        <v>1108</v>
      </c>
    </row>
    <row r="1092" spans="1:18" x14ac:dyDescent="0.2">
      <c r="A1092" t="s">
        <v>252</v>
      </c>
      <c r="B1092" s="141">
        <f t="shared" si="17"/>
        <v>5.1000000000000005</v>
      </c>
      <c r="C1092" s="280">
        <v>45757</v>
      </c>
      <c r="D1092" s="279">
        <v>45762</v>
      </c>
      <c r="E1092" s="279">
        <v>45762</v>
      </c>
      <c r="F1092" s="132"/>
      <c r="G1092" s="132" t="s">
        <v>1239</v>
      </c>
      <c r="H1092" s="132" t="s">
        <v>373</v>
      </c>
      <c r="I1092" s="132" t="s">
        <v>1100</v>
      </c>
      <c r="J1092" s="132" t="s">
        <v>1654</v>
      </c>
      <c r="K1092" s="132" t="s">
        <v>1655</v>
      </c>
      <c r="L1092" s="132" t="s">
        <v>1656</v>
      </c>
      <c r="M1092" s="132" t="s">
        <v>3653</v>
      </c>
      <c r="N1092" s="132" t="s">
        <v>1105</v>
      </c>
      <c r="O1092" s="132" t="s">
        <v>3391</v>
      </c>
      <c r="P1092" s="132" t="s">
        <v>3654</v>
      </c>
      <c r="Q1092" s="132" t="s">
        <v>3641</v>
      </c>
      <c r="R1092" s="132" t="s">
        <v>1108</v>
      </c>
    </row>
    <row r="1093" spans="1:18" x14ac:dyDescent="0.2">
      <c r="A1093" t="s">
        <v>252</v>
      </c>
      <c r="B1093" s="141">
        <f t="shared" si="17"/>
        <v>5.1000000000000005</v>
      </c>
      <c r="C1093" s="280">
        <v>45758</v>
      </c>
      <c r="D1093" s="279">
        <v>45763</v>
      </c>
      <c r="E1093" s="279">
        <v>45763</v>
      </c>
      <c r="F1093" s="132"/>
      <c r="G1093" s="132" t="s">
        <v>1712</v>
      </c>
      <c r="H1093" s="132" t="s">
        <v>373</v>
      </c>
      <c r="I1093" s="132" t="s">
        <v>1100</v>
      </c>
      <c r="J1093" s="132" t="s">
        <v>1654</v>
      </c>
      <c r="K1093" s="132" t="s">
        <v>1655</v>
      </c>
      <c r="L1093" s="132" t="s">
        <v>1656</v>
      </c>
      <c r="M1093" s="132" t="s">
        <v>3655</v>
      </c>
      <c r="N1093" s="132" t="s">
        <v>1105</v>
      </c>
      <c r="O1093" s="132" t="s">
        <v>3391</v>
      </c>
      <c r="P1093" s="132" t="s">
        <v>3656</v>
      </c>
      <c r="Q1093" s="132" t="s">
        <v>3657</v>
      </c>
      <c r="R1093" s="132" t="s">
        <v>1108</v>
      </c>
    </row>
    <row r="1094" spans="1:18" x14ac:dyDescent="0.2">
      <c r="A1094" t="s">
        <v>252</v>
      </c>
      <c r="B1094" s="141">
        <f t="shared" si="17"/>
        <v>5.0600000000000005</v>
      </c>
      <c r="C1094" s="280">
        <v>45758</v>
      </c>
      <c r="D1094" s="279">
        <v>45763</v>
      </c>
      <c r="E1094" s="279">
        <v>45763</v>
      </c>
      <c r="F1094" s="132"/>
      <c r="G1094" s="132" t="s">
        <v>1108</v>
      </c>
      <c r="H1094" s="132" t="s">
        <v>373</v>
      </c>
      <c r="I1094" s="132" t="s">
        <v>1100</v>
      </c>
      <c r="J1094" s="132" t="s">
        <v>1654</v>
      </c>
      <c r="K1094" s="132" t="s">
        <v>1102</v>
      </c>
      <c r="L1094" s="132" t="s">
        <v>1674</v>
      </c>
      <c r="M1094" s="132" t="s">
        <v>3658</v>
      </c>
      <c r="N1094" s="132" t="s">
        <v>1112</v>
      </c>
      <c r="O1094" s="132" t="s">
        <v>3391</v>
      </c>
      <c r="P1094" s="132" t="s">
        <v>3659</v>
      </c>
      <c r="Q1094" s="132" t="s">
        <v>3657</v>
      </c>
      <c r="R1094" s="132" t="s">
        <v>1108</v>
      </c>
    </row>
    <row r="1095" spans="1:18" x14ac:dyDescent="0.2">
      <c r="A1095" t="s">
        <v>252</v>
      </c>
      <c r="B1095" s="141">
        <f t="shared" si="17"/>
        <v>5.0600000000000005</v>
      </c>
      <c r="C1095" s="280">
        <v>45758</v>
      </c>
      <c r="D1095" s="279">
        <v>45763</v>
      </c>
      <c r="E1095" s="279">
        <v>45763</v>
      </c>
      <c r="F1095" s="132"/>
      <c r="G1095" s="132" t="s">
        <v>1108</v>
      </c>
      <c r="H1095" s="132" t="s">
        <v>373</v>
      </c>
      <c r="I1095" s="132" t="s">
        <v>1100</v>
      </c>
      <c r="J1095" s="132" t="s">
        <v>1654</v>
      </c>
      <c r="K1095" s="132" t="s">
        <v>1102</v>
      </c>
      <c r="L1095" s="132" t="s">
        <v>1674</v>
      </c>
      <c r="M1095" s="132" t="s">
        <v>3660</v>
      </c>
      <c r="N1095" s="132" t="s">
        <v>1112</v>
      </c>
      <c r="O1095" s="132" t="s">
        <v>3391</v>
      </c>
      <c r="P1095" s="132" t="s">
        <v>3661</v>
      </c>
      <c r="Q1095" s="132" t="s">
        <v>3657</v>
      </c>
      <c r="R1095" s="132" t="s">
        <v>1108</v>
      </c>
    </row>
    <row r="1096" spans="1:18" x14ac:dyDescent="0.2">
      <c r="A1096" t="s">
        <v>252</v>
      </c>
      <c r="B1096" s="141">
        <f t="shared" si="17"/>
        <v>5.1000000000000005</v>
      </c>
      <c r="C1096" s="280">
        <v>45758</v>
      </c>
      <c r="D1096" s="279">
        <v>45763</v>
      </c>
      <c r="E1096" s="279">
        <v>45763</v>
      </c>
      <c r="F1096" s="132"/>
      <c r="G1096" s="132" t="s">
        <v>3662</v>
      </c>
      <c r="H1096" s="132" t="s">
        <v>373</v>
      </c>
      <c r="I1096" s="132" t="s">
        <v>1100</v>
      </c>
      <c r="J1096" s="132" t="s">
        <v>1654</v>
      </c>
      <c r="K1096" s="132" t="s">
        <v>1655</v>
      </c>
      <c r="L1096" s="132" t="s">
        <v>1656</v>
      </c>
      <c r="M1096" s="132" t="s">
        <v>3663</v>
      </c>
      <c r="N1096" s="132" t="s">
        <v>1105</v>
      </c>
      <c r="O1096" s="132" t="s">
        <v>3391</v>
      </c>
      <c r="P1096" s="132" t="s">
        <v>3664</v>
      </c>
      <c r="Q1096" s="132" t="s">
        <v>3657</v>
      </c>
      <c r="R1096" s="132" t="s">
        <v>1108</v>
      </c>
    </row>
    <row r="1097" spans="1:18" x14ac:dyDescent="0.2">
      <c r="A1097" t="s">
        <v>252</v>
      </c>
      <c r="B1097" s="141">
        <f t="shared" si="17"/>
        <v>5.1000000000000005</v>
      </c>
      <c r="C1097" s="280">
        <v>45758</v>
      </c>
      <c r="D1097" s="279">
        <v>45763</v>
      </c>
      <c r="E1097" s="279">
        <v>45763</v>
      </c>
      <c r="F1097" s="132"/>
      <c r="G1097" s="132" t="s">
        <v>796</v>
      </c>
      <c r="H1097" s="132" t="s">
        <v>373</v>
      </c>
      <c r="I1097" s="132" t="s">
        <v>1100</v>
      </c>
      <c r="J1097" s="132" t="s">
        <v>1654</v>
      </c>
      <c r="K1097" s="132" t="s">
        <v>1655</v>
      </c>
      <c r="L1097" s="132" t="s">
        <v>1656</v>
      </c>
      <c r="M1097" s="132" t="s">
        <v>3665</v>
      </c>
      <c r="N1097" s="132" t="s">
        <v>1105</v>
      </c>
      <c r="O1097" s="132" t="s">
        <v>3391</v>
      </c>
      <c r="P1097" s="132" t="s">
        <v>3666</v>
      </c>
      <c r="Q1097" s="132" t="s">
        <v>3657</v>
      </c>
      <c r="R1097" s="132" t="s">
        <v>1108</v>
      </c>
    </row>
    <row r="1098" spans="1:18" x14ac:dyDescent="0.2">
      <c r="A1098" t="s">
        <v>252</v>
      </c>
      <c r="B1098" s="141">
        <f t="shared" si="17"/>
        <v>5.0600000000000005</v>
      </c>
      <c r="C1098" s="280">
        <v>45758</v>
      </c>
      <c r="D1098" s="279">
        <v>45763</v>
      </c>
      <c r="E1098" s="279">
        <v>45763</v>
      </c>
      <c r="F1098" s="132"/>
      <c r="G1098" s="132" t="s">
        <v>1108</v>
      </c>
      <c r="H1098" s="132" t="s">
        <v>373</v>
      </c>
      <c r="I1098" s="132" t="s">
        <v>1100</v>
      </c>
      <c r="J1098" s="132" t="s">
        <v>1654</v>
      </c>
      <c r="K1098" s="132" t="s">
        <v>1102</v>
      </c>
      <c r="L1098" s="132" t="s">
        <v>1674</v>
      </c>
      <c r="M1098" s="132" t="s">
        <v>3667</v>
      </c>
      <c r="N1098" s="132" t="s">
        <v>1112</v>
      </c>
      <c r="O1098" s="132" t="s">
        <v>3391</v>
      </c>
      <c r="P1098" s="132" t="s">
        <v>3668</v>
      </c>
      <c r="Q1098" s="132" t="s">
        <v>3657</v>
      </c>
      <c r="R1098" s="132" t="s">
        <v>1108</v>
      </c>
    </row>
    <row r="1099" spans="1:18" x14ac:dyDescent="0.2">
      <c r="A1099" t="s">
        <v>252</v>
      </c>
      <c r="B1099" s="141">
        <f t="shared" si="17"/>
        <v>5.0600000000000005</v>
      </c>
      <c r="C1099" s="280">
        <v>45758</v>
      </c>
      <c r="D1099" s="279">
        <v>45763</v>
      </c>
      <c r="E1099" s="279">
        <v>45763</v>
      </c>
      <c r="F1099" s="132"/>
      <c r="G1099" s="132" t="s">
        <v>1108</v>
      </c>
      <c r="H1099" s="132" t="s">
        <v>373</v>
      </c>
      <c r="I1099" s="132" t="s">
        <v>1100</v>
      </c>
      <c r="J1099" s="132" t="s">
        <v>1654</v>
      </c>
      <c r="K1099" s="132" t="s">
        <v>1102</v>
      </c>
      <c r="L1099" s="132" t="s">
        <v>1674</v>
      </c>
      <c r="M1099" s="132" t="s">
        <v>3669</v>
      </c>
      <c r="N1099" s="132" t="s">
        <v>1112</v>
      </c>
      <c r="O1099" s="132" t="s">
        <v>3391</v>
      </c>
      <c r="P1099" s="132" t="s">
        <v>3670</v>
      </c>
      <c r="Q1099" s="132" t="s">
        <v>3657</v>
      </c>
      <c r="R1099" s="132" t="s">
        <v>1108</v>
      </c>
    </row>
    <row r="1100" spans="1:18" x14ac:dyDescent="0.2">
      <c r="A1100" t="s">
        <v>253</v>
      </c>
      <c r="B1100" s="141">
        <f t="shared" si="17"/>
        <v>7.0600000000000005</v>
      </c>
      <c r="C1100" s="280">
        <v>45758</v>
      </c>
      <c r="D1100" s="279">
        <v>45763</v>
      </c>
      <c r="E1100" s="279">
        <v>45763</v>
      </c>
      <c r="F1100" s="132"/>
      <c r="G1100" s="132" t="s">
        <v>1108</v>
      </c>
      <c r="H1100" s="132" t="s">
        <v>373</v>
      </c>
      <c r="I1100" s="132" t="s">
        <v>1100</v>
      </c>
      <c r="J1100" s="132" t="s">
        <v>3627</v>
      </c>
      <c r="K1100" s="132" t="s">
        <v>3628</v>
      </c>
      <c r="L1100" s="132" t="s">
        <v>3629</v>
      </c>
      <c r="M1100" s="132" t="s">
        <v>3671</v>
      </c>
      <c r="N1100" s="132" t="s">
        <v>1117</v>
      </c>
      <c r="O1100" s="132" t="s">
        <v>3391</v>
      </c>
      <c r="P1100" s="132" t="s">
        <v>3672</v>
      </c>
      <c r="Q1100" s="132" t="s">
        <v>3657</v>
      </c>
      <c r="R1100" s="132" t="s">
        <v>1108</v>
      </c>
    </row>
    <row r="1101" spans="1:18" x14ac:dyDescent="0.2">
      <c r="A1101" t="s">
        <v>252</v>
      </c>
      <c r="B1101" s="141">
        <f t="shared" si="17"/>
        <v>5.0600000000000005</v>
      </c>
      <c r="C1101" s="280">
        <v>45758</v>
      </c>
      <c r="D1101" s="279">
        <v>45763</v>
      </c>
      <c r="E1101" s="279">
        <v>45763</v>
      </c>
      <c r="F1101" s="132"/>
      <c r="G1101" s="132" t="s">
        <v>1108</v>
      </c>
      <c r="H1101" s="132" t="s">
        <v>373</v>
      </c>
      <c r="I1101" s="132" t="s">
        <v>1100</v>
      </c>
      <c r="J1101" s="132" t="s">
        <v>1654</v>
      </c>
      <c r="K1101" s="132" t="s">
        <v>1102</v>
      </c>
      <c r="L1101" s="132" t="s">
        <v>1674</v>
      </c>
      <c r="M1101" s="132" t="s">
        <v>3673</v>
      </c>
      <c r="N1101" s="132" t="s">
        <v>1112</v>
      </c>
      <c r="O1101" s="132" t="s">
        <v>3391</v>
      </c>
      <c r="P1101" s="132" t="s">
        <v>3674</v>
      </c>
      <c r="Q1101" s="132" t="s">
        <v>3657</v>
      </c>
      <c r="R1101" s="132" t="s">
        <v>1108</v>
      </c>
    </row>
    <row r="1102" spans="1:18" x14ac:dyDescent="0.2">
      <c r="A1102" t="s">
        <v>252</v>
      </c>
      <c r="B1102" s="141">
        <f t="shared" si="17"/>
        <v>5.1000000000000005</v>
      </c>
      <c r="C1102" s="280">
        <v>45758</v>
      </c>
      <c r="D1102" s="279">
        <v>45763</v>
      </c>
      <c r="E1102" s="279">
        <v>45763</v>
      </c>
      <c r="F1102" s="132"/>
      <c r="G1102" s="132" t="s">
        <v>1531</v>
      </c>
      <c r="H1102" s="132" t="s">
        <v>373</v>
      </c>
      <c r="I1102" s="132" t="s">
        <v>1100</v>
      </c>
      <c r="J1102" s="132" t="s">
        <v>1654</v>
      </c>
      <c r="K1102" s="132" t="s">
        <v>1655</v>
      </c>
      <c r="L1102" s="132" t="s">
        <v>1656</v>
      </c>
      <c r="M1102" s="132" t="s">
        <v>3675</v>
      </c>
      <c r="N1102" s="132" t="s">
        <v>1105</v>
      </c>
      <c r="O1102" s="132" t="s">
        <v>3391</v>
      </c>
      <c r="P1102" s="281" t="s">
        <v>3676</v>
      </c>
      <c r="Q1102" s="132" t="s">
        <v>3657</v>
      </c>
      <c r="R1102" s="132" t="s">
        <v>1108</v>
      </c>
    </row>
    <row r="1103" spans="1:18" x14ac:dyDescent="0.2">
      <c r="A1103" t="s">
        <v>252</v>
      </c>
      <c r="B1103" s="141">
        <f t="shared" si="17"/>
        <v>5.1000000000000005</v>
      </c>
      <c r="C1103" s="280">
        <v>45758</v>
      </c>
      <c r="D1103" s="279">
        <v>45763</v>
      </c>
      <c r="E1103" s="279">
        <v>45763</v>
      </c>
      <c r="F1103" s="132"/>
      <c r="G1103" s="132" t="s">
        <v>1108</v>
      </c>
      <c r="H1103" s="132" t="s">
        <v>373</v>
      </c>
      <c r="I1103" s="132" t="s">
        <v>1100</v>
      </c>
      <c r="J1103" s="132" t="s">
        <v>1654</v>
      </c>
      <c r="K1103" s="132" t="s">
        <v>1655</v>
      </c>
      <c r="L1103" s="132" t="s">
        <v>1656</v>
      </c>
      <c r="M1103" s="132" t="s">
        <v>3677</v>
      </c>
      <c r="N1103" s="132" t="s">
        <v>1117</v>
      </c>
      <c r="O1103" s="132" t="s">
        <v>3391</v>
      </c>
      <c r="P1103" s="132" t="s">
        <v>3678</v>
      </c>
      <c r="Q1103" s="132" t="s">
        <v>3657</v>
      </c>
      <c r="R1103" s="132" t="s">
        <v>1108</v>
      </c>
    </row>
    <row r="1104" spans="1:18" x14ac:dyDescent="0.2">
      <c r="A1104" t="s">
        <v>252</v>
      </c>
      <c r="B1104" s="141">
        <f t="shared" si="17"/>
        <v>5.1000000000000005</v>
      </c>
      <c r="C1104" s="280">
        <v>45758</v>
      </c>
      <c r="D1104" s="279">
        <v>45763</v>
      </c>
      <c r="E1104" s="279">
        <v>45763</v>
      </c>
      <c r="F1104" s="132"/>
      <c r="G1104" s="132" t="s">
        <v>1108</v>
      </c>
      <c r="H1104" s="132" t="s">
        <v>373</v>
      </c>
      <c r="I1104" s="132" t="s">
        <v>1100</v>
      </c>
      <c r="J1104" s="132" t="s">
        <v>1654</v>
      </c>
      <c r="K1104" s="132" t="s">
        <v>1655</v>
      </c>
      <c r="L1104" s="132" t="s">
        <v>1656</v>
      </c>
      <c r="M1104" s="132" t="s">
        <v>3679</v>
      </c>
      <c r="N1104" s="132" t="s">
        <v>1117</v>
      </c>
      <c r="O1104" s="132" t="s">
        <v>3391</v>
      </c>
      <c r="P1104" s="132" t="s">
        <v>3680</v>
      </c>
      <c r="Q1104" s="132" t="s">
        <v>3657</v>
      </c>
      <c r="R1104" s="132" t="s">
        <v>1108</v>
      </c>
    </row>
    <row r="1105" spans="1:18" x14ac:dyDescent="0.2">
      <c r="A1105" t="s">
        <v>253</v>
      </c>
      <c r="B1105" s="141">
        <f t="shared" si="17"/>
        <v>7.01</v>
      </c>
      <c r="C1105" s="280">
        <v>45758</v>
      </c>
      <c r="D1105" s="279">
        <v>45763</v>
      </c>
      <c r="E1105" s="279">
        <v>45763</v>
      </c>
      <c r="F1105" s="132"/>
      <c r="G1105" s="132" t="s">
        <v>1108</v>
      </c>
      <c r="H1105" s="132" t="s">
        <v>373</v>
      </c>
      <c r="I1105" s="132" t="s">
        <v>1100</v>
      </c>
      <c r="J1105" s="132" t="s">
        <v>3627</v>
      </c>
      <c r="K1105" s="132" t="s">
        <v>3681</v>
      </c>
      <c r="L1105" s="132" t="s">
        <v>3682</v>
      </c>
      <c r="M1105" s="132" t="s">
        <v>3683</v>
      </c>
      <c r="N1105" s="132" t="s">
        <v>1112</v>
      </c>
      <c r="O1105" s="132" t="s">
        <v>3391</v>
      </c>
      <c r="P1105" s="132" t="s">
        <v>3684</v>
      </c>
      <c r="Q1105" s="132" t="s">
        <v>3657</v>
      </c>
      <c r="R1105" s="132" t="s">
        <v>1108</v>
      </c>
    </row>
    <row r="1106" spans="1:18" x14ac:dyDescent="0.2">
      <c r="A1106" t="s">
        <v>252</v>
      </c>
      <c r="B1106" s="141">
        <f t="shared" si="17"/>
        <v>5.1000000000000005</v>
      </c>
      <c r="C1106" s="280">
        <v>45758</v>
      </c>
      <c r="D1106" s="279">
        <v>45763</v>
      </c>
      <c r="E1106" s="279">
        <v>45763</v>
      </c>
      <c r="F1106" s="132"/>
      <c r="G1106" s="132" t="s">
        <v>1588</v>
      </c>
      <c r="H1106" s="132" t="s">
        <v>373</v>
      </c>
      <c r="I1106" s="132" t="s">
        <v>1100</v>
      </c>
      <c r="J1106" s="132" t="s">
        <v>1654</v>
      </c>
      <c r="K1106" s="132" t="s">
        <v>1655</v>
      </c>
      <c r="L1106" s="132" t="s">
        <v>1656</v>
      </c>
      <c r="M1106" s="132" t="s">
        <v>3685</v>
      </c>
      <c r="N1106" s="132" t="s">
        <v>1105</v>
      </c>
      <c r="O1106" s="132" t="s">
        <v>3391</v>
      </c>
      <c r="P1106" s="132" t="s">
        <v>3686</v>
      </c>
      <c r="Q1106" s="132" t="s">
        <v>3657</v>
      </c>
      <c r="R1106" s="132" t="s">
        <v>1108</v>
      </c>
    </row>
    <row r="1107" spans="1:18" x14ac:dyDescent="0.2">
      <c r="A1107" t="s">
        <v>225</v>
      </c>
      <c r="B1107" s="141">
        <f t="shared" si="17"/>
        <v>5.55</v>
      </c>
      <c r="C1107" s="280">
        <v>45759</v>
      </c>
      <c r="D1107" s="279">
        <v>45764</v>
      </c>
      <c r="E1107" s="279">
        <v>45764</v>
      </c>
      <c r="F1107" s="132"/>
      <c r="G1107" s="132" t="s">
        <v>1108</v>
      </c>
      <c r="H1107" s="132" t="s">
        <v>373</v>
      </c>
      <c r="I1107" s="132" t="s">
        <v>1100</v>
      </c>
      <c r="J1107" s="132" t="s">
        <v>1926</v>
      </c>
      <c r="K1107" s="132" t="s">
        <v>2042</v>
      </c>
      <c r="L1107" s="132" t="s">
        <v>2834</v>
      </c>
      <c r="M1107" s="132" t="s">
        <v>3687</v>
      </c>
      <c r="N1107" s="132" t="s">
        <v>1112</v>
      </c>
      <c r="O1107" s="132" t="s">
        <v>3391</v>
      </c>
      <c r="P1107" s="132" t="s">
        <v>3688</v>
      </c>
      <c r="Q1107" s="132" t="s">
        <v>3689</v>
      </c>
      <c r="R1107" s="132" t="s">
        <v>1108</v>
      </c>
    </row>
    <row r="1108" spans="1:18" x14ac:dyDescent="0.2">
      <c r="A1108" t="s">
        <v>225</v>
      </c>
      <c r="B1108" s="141">
        <f t="shared" si="17"/>
        <v>5.55</v>
      </c>
      <c r="C1108" s="280">
        <v>45759</v>
      </c>
      <c r="D1108" s="279">
        <v>45764</v>
      </c>
      <c r="E1108" s="279">
        <v>45764</v>
      </c>
      <c r="F1108" s="132"/>
      <c r="G1108" s="132" t="s">
        <v>1108</v>
      </c>
      <c r="H1108" s="132" t="s">
        <v>373</v>
      </c>
      <c r="I1108" s="132" t="s">
        <v>1100</v>
      </c>
      <c r="J1108" s="132" t="s">
        <v>1926</v>
      </c>
      <c r="K1108" s="132" t="s">
        <v>2042</v>
      </c>
      <c r="L1108" s="132" t="s">
        <v>2834</v>
      </c>
      <c r="M1108" s="132" t="s">
        <v>3690</v>
      </c>
      <c r="N1108" s="132" t="s">
        <v>1112</v>
      </c>
      <c r="O1108" s="132" t="s">
        <v>3391</v>
      </c>
      <c r="P1108" s="132" t="s">
        <v>3691</v>
      </c>
      <c r="Q1108" s="132" t="s">
        <v>3689</v>
      </c>
      <c r="R1108" s="132" t="s">
        <v>1108</v>
      </c>
    </row>
    <row r="1109" spans="1:18" x14ac:dyDescent="0.2">
      <c r="A1109" t="s">
        <v>252</v>
      </c>
      <c r="B1109" s="141">
        <f t="shared" si="17"/>
        <v>7.0600000000000005</v>
      </c>
      <c r="C1109" s="280">
        <v>45759</v>
      </c>
      <c r="D1109" s="279">
        <v>45764</v>
      </c>
      <c r="E1109" s="279">
        <v>45764</v>
      </c>
      <c r="F1109" s="132"/>
      <c r="G1109" s="132" t="s">
        <v>1108</v>
      </c>
      <c r="H1109" s="132" t="s">
        <v>373</v>
      </c>
      <c r="I1109" s="132" t="s">
        <v>1100</v>
      </c>
      <c r="J1109" s="132" t="s">
        <v>3627</v>
      </c>
      <c r="K1109" s="132" t="s">
        <v>3628</v>
      </c>
      <c r="L1109" s="132" t="s">
        <v>3629</v>
      </c>
      <c r="M1109" s="132" t="s">
        <v>3692</v>
      </c>
      <c r="N1109" s="132" t="s">
        <v>1117</v>
      </c>
      <c r="O1109" s="132" t="s">
        <v>3391</v>
      </c>
      <c r="P1109" s="132" t="s">
        <v>3693</v>
      </c>
      <c r="Q1109" s="132" t="s">
        <v>3689</v>
      </c>
      <c r="R1109" s="132" t="s">
        <v>1108</v>
      </c>
    </row>
    <row r="1110" spans="1:18" x14ac:dyDescent="0.2">
      <c r="A1110" t="s">
        <v>253</v>
      </c>
      <c r="B1110" s="141">
        <f t="shared" si="17"/>
        <v>36.49</v>
      </c>
      <c r="C1110" s="280">
        <v>45759</v>
      </c>
      <c r="D1110" s="279">
        <v>45764</v>
      </c>
      <c r="E1110" s="279">
        <v>45764</v>
      </c>
      <c r="F1110" s="132"/>
      <c r="G1110" s="132" t="s">
        <v>1108</v>
      </c>
      <c r="H1110" s="132" t="s">
        <v>373</v>
      </c>
      <c r="I1110" s="132" t="s">
        <v>1100</v>
      </c>
      <c r="J1110" s="132" t="s">
        <v>3694</v>
      </c>
      <c r="K1110" s="132" t="s">
        <v>3695</v>
      </c>
      <c r="L1110" s="132" t="s">
        <v>3696</v>
      </c>
      <c r="M1110" s="132" t="s">
        <v>3697</v>
      </c>
      <c r="N1110" s="132" t="s">
        <v>1117</v>
      </c>
      <c r="O1110" s="132" t="s">
        <v>3391</v>
      </c>
      <c r="P1110" s="132" t="s">
        <v>3698</v>
      </c>
      <c r="Q1110" s="132" t="s">
        <v>3689</v>
      </c>
      <c r="R1110" s="132" t="s">
        <v>1108</v>
      </c>
    </row>
    <row r="1111" spans="1:18" x14ac:dyDescent="0.2">
      <c r="A1111" t="s">
        <v>253</v>
      </c>
      <c r="B1111" s="141">
        <f t="shared" si="17"/>
        <v>14.41</v>
      </c>
      <c r="C1111" s="280">
        <v>45759</v>
      </c>
      <c r="D1111" s="279">
        <v>45764</v>
      </c>
      <c r="E1111" s="279">
        <v>45764</v>
      </c>
      <c r="F1111" s="132"/>
      <c r="G1111" s="132" t="s">
        <v>1108</v>
      </c>
      <c r="H1111" s="132" t="s">
        <v>373</v>
      </c>
      <c r="I1111" s="132" t="s">
        <v>1100</v>
      </c>
      <c r="J1111" s="132" t="s">
        <v>3399</v>
      </c>
      <c r="K1111" s="132" t="s">
        <v>3408</v>
      </c>
      <c r="L1111" s="132" t="s">
        <v>1314</v>
      </c>
      <c r="M1111" s="132" t="s">
        <v>3699</v>
      </c>
      <c r="N1111" s="132" t="s">
        <v>1117</v>
      </c>
      <c r="O1111" s="132" t="s">
        <v>3391</v>
      </c>
      <c r="P1111" s="132" t="s">
        <v>3700</v>
      </c>
      <c r="Q1111" s="132" t="s">
        <v>3689</v>
      </c>
      <c r="R1111" s="132" t="s">
        <v>1108</v>
      </c>
    </row>
    <row r="1112" spans="1:18" x14ac:dyDescent="0.2">
      <c r="A1112" t="s">
        <v>253</v>
      </c>
      <c r="B1112" s="141">
        <f t="shared" si="17"/>
        <v>7.01</v>
      </c>
      <c r="C1112" s="280">
        <v>45759</v>
      </c>
      <c r="D1112" s="279">
        <v>45764</v>
      </c>
      <c r="E1112" s="279">
        <v>45764</v>
      </c>
      <c r="F1112" s="132"/>
      <c r="G1112" s="132" t="s">
        <v>1108</v>
      </c>
      <c r="H1112" s="132" t="s">
        <v>373</v>
      </c>
      <c r="I1112" s="132" t="s">
        <v>1100</v>
      </c>
      <c r="J1112" s="132" t="s">
        <v>3627</v>
      </c>
      <c r="K1112" s="132" t="s">
        <v>3681</v>
      </c>
      <c r="L1112" s="132" t="s">
        <v>3682</v>
      </c>
      <c r="M1112" s="132" t="s">
        <v>3701</v>
      </c>
      <c r="N1112" s="132" t="s">
        <v>1112</v>
      </c>
      <c r="O1112" s="132" t="s">
        <v>3391</v>
      </c>
      <c r="P1112" s="132" t="s">
        <v>3702</v>
      </c>
      <c r="Q1112" s="132" t="s">
        <v>3689</v>
      </c>
      <c r="R1112" s="132" t="s">
        <v>1108</v>
      </c>
    </row>
    <row r="1113" spans="1:18" x14ac:dyDescent="0.2">
      <c r="A1113" t="s">
        <v>225</v>
      </c>
      <c r="B1113" s="141">
        <f t="shared" si="17"/>
        <v>5.59</v>
      </c>
      <c r="C1113" s="280">
        <v>45760</v>
      </c>
      <c r="D1113" s="279">
        <v>45764</v>
      </c>
      <c r="E1113" s="279">
        <v>45764</v>
      </c>
      <c r="F1113" s="132"/>
      <c r="G1113" s="132" t="s">
        <v>1531</v>
      </c>
      <c r="H1113" s="132" t="s">
        <v>373</v>
      </c>
      <c r="I1113" s="132" t="s">
        <v>1100</v>
      </c>
      <c r="J1113" s="132" t="s">
        <v>1926</v>
      </c>
      <c r="K1113" s="132" t="s">
        <v>1927</v>
      </c>
      <c r="L1113" s="132" t="s">
        <v>1928</v>
      </c>
      <c r="M1113" s="132" t="s">
        <v>3703</v>
      </c>
      <c r="N1113" s="132" t="s">
        <v>1105</v>
      </c>
      <c r="O1113" s="132" t="s">
        <v>3391</v>
      </c>
      <c r="P1113" s="132" t="s">
        <v>3704</v>
      </c>
      <c r="Q1113" s="132" t="s">
        <v>3689</v>
      </c>
      <c r="R1113" s="132" t="s">
        <v>1108</v>
      </c>
    </row>
    <row r="1114" spans="1:18" x14ac:dyDescent="0.2">
      <c r="A1114" t="s">
        <v>225</v>
      </c>
      <c r="B1114" s="141">
        <f t="shared" si="17"/>
        <v>5.55</v>
      </c>
      <c r="C1114" s="280">
        <v>45760</v>
      </c>
      <c r="D1114" s="279">
        <v>45764</v>
      </c>
      <c r="E1114" s="279">
        <v>45764</v>
      </c>
      <c r="F1114" s="132"/>
      <c r="G1114" s="132" t="s">
        <v>1108</v>
      </c>
      <c r="H1114" s="132" t="s">
        <v>373</v>
      </c>
      <c r="I1114" s="132" t="s">
        <v>1100</v>
      </c>
      <c r="J1114" s="132" t="s">
        <v>1926</v>
      </c>
      <c r="K1114" s="132" t="s">
        <v>2042</v>
      </c>
      <c r="L1114" s="132" t="s">
        <v>2834</v>
      </c>
      <c r="M1114" s="132" t="s">
        <v>3705</v>
      </c>
      <c r="N1114" s="132" t="s">
        <v>1112</v>
      </c>
      <c r="O1114" s="132" t="s">
        <v>3391</v>
      </c>
      <c r="P1114" s="132" t="s">
        <v>3706</v>
      </c>
      <c r="Q1114" s="132" t="s">
        <v>3689</v>
      </c>
      <c r="R1114" s="132" t="s">
        <v>1108</v>
      </c>
    </row>
    <row r="1115" spans="1:18" x14ac:dyDescent="0.2">
      <c r="A1115" t="s">
        <v>225</v>
      </c>
      <c r="B1115" s="141">
        <f t="shared" si="17"/>
        <v>5.55</v>
      </c>
      <c r="C1115" s="280">
        <v>45761</v>
      </c>
      <c r="D1115" s="279">
        <v>45764</v>
      </c>
      <c r="E1115" s="279">
        <v>45764</v>
      </c>
      <c r="F1115" s="132"/>
      <c r="G1115" s="132" t="s">
        <v>1108</v>
      </c>
      <c r="H1115" s="132" t="s">
        <v>373</v>
      </c>
      <c r="I1115" s="132" t="s">
        <v>1100</v>
      </c>
      <c r="J1115" s="132" t="s">
        <v>1926</v>
      </c>
      <c r="K1115" s="132" t="s">
        <v>2042</v>
      </c>
      <c r="L1115" s="132" t="s">
        <v>2834</v>
      </c>
      <c r="M1115" s="132" t="s">
        <v>3707</v>
      </c>
      <c r="N1115" s="132" t="s">
        <v>1112</v>
      </c>
      <c r="O1115" s="132" t="s">
        <v>3391</v>
      </c>
      <c r="P1115" s="132" t="s">
        <v>3708</v>
      </c>
      <c r="Q1115" s="132" t="s">
        <v>3689</v>
      </c>
      <c r="R1115" s="132" t="s">
        <v>1108</v>
      </c>
    </row>
    <row r="1116" spans="1:18" x14ac:dyDescent="0.2">
      <c r="A1116" t="s">
        <v>226</v>
      </c>
      <c r="B1116" s="141">
        <f t="shared" si="17"/>
        <v>7.5</v>
      </c>
      <c r="C1116" s="280">
        <v>45761</v>
      </c>
      <c r="D1116" s="279">
        <v>45764</v>
      </c>
      <c r="E1116" s="279">
        <v>45764</v>
      </c>
      <c r="F1116" s="132"/>
      <c r="G1116" s="132" t="s">
        <v>1108</v>
      </c>
      <c r="H1116" s="132" t="s">
        <v>373</v>
      </c>
      <c r="I1116" s="132" t="s">
        <v>1100</v>
      </c>
      <c r="J1116" s="132" t="s">
        <v>1949</v>
      </c>
      <c r="K1116" s="132" t="s">
        <v>2170</v>
      </c>
      <c r="L1116" s="132" t="s">
        <v>3057</v>
      </c>
      <c r="M1116" s="132" t="s">
        <v>3709</v>
      </c>
      <c r="N1116" s="132" t="s">
        <v>1112</v>
      </c>
      <c r="O1116" s="132" t="s">
        <v>3391</v>
      </c>
      <c r="P1116" s="132" t="s">
        <v>3710</v>
      </c>
      <c r="Q1116" s="132" t="s">
        <v>3689</v>
      </c>
      <c r="R1116" s="132" t="s">
        <v>1108</v>
      </c>
    </row>
    <row r="1117" spans="1:18" x14ac:dyDescent="0.2">
      <c r="A1117" t="s">
        <v>225</v>
      </c>
      <c r="B1117" s="141">
        <f t="shared" si="17"/>
        <v>5.55</v>
      </c>
      <c r="C1117" s="280">
        <v>45761</v>
      </c>
      <c r="D1117" s="279">
        <v>45764</v>
      </c>
      <c r="E1117" s="279">
        <v>45764</v>
      </c>
      <c r="F1117" s="132"/>
      <c r="G1117" s="132" t="s">
        <v>1108</v>
      </c>
      <c r="H1117" s="132" t="s">
        <v>373</v>
      </c>
      <c r="I1117" s="132" t="s">
        <v>1100</v>
      </c>
      <c r="J1117" s="132" t="s">
        <v>1926</v>
      </c>
      <c r="K1117" s="132" t="s">
        <v>2042</v>
      </c>
      <c r="L1117" s="132" t="s">
        <v>2834</v>
      </c>
      <c r="M1117" s="132" t="s">
        <v>3711</v>
      </c>
      <c r="N1117" s="132" t="s">
        <v>1112</v>
      </c>
      <c r="O1117" s="132" t="s">
        <v>3391</v>
      </c>
      <c r="P1117" s="132" t="s">
        <v>3712</v>
      </c>
      <c r="Q1117" s="132" t="s">
        <v>3689</v>
      </c>
      <c r="R1117" s="132" t="s">
        <v>1108</v>
      </c>
    </row>
    <row r="1118" spans="1:18" x14ac:dyDescent="0.2">
      <c r="A1118" t="s">
        <v>225</v>
      </c>
      <c r="B1118" s="141">
        <f t="shared" si="17"/>
        <v>5.59</v>
      </c>
      <c r="C1118" s="280">
        <v>45761</v>
      </c>
      <c r="D1118" s="279">
        <v>45764</v>
      </c>
      <c r="E1118" s="279">
        <v>45764</v>
      </c>
      <c r="F1118" s="132"/>
      <c r="G1118" s="132" t="s">
        <v>1108</v>
      </c>
      <c r="H1118" s="132" t="s">
        <v>373</v>
      </c>
      <c r="I1118" s="132" t="s">
        <v>1100</v>
      </c>
      <c r="J1118" s="132" t="s">
        <v>1926</v>
      </c>
      <c r="K1118" s="132" t="s">
        <v>1927</v>
      </c>
      <c r="L1118" s="132" t="s">
        <v>1928</v>
      </c>
      <c r="M1118" s="132" t="s">
        <v>3713</v>
      </c>
      <c r="N1118" s="132" t="s">
        <v>1117</v>
      </c>
      <c r="O1118" s="132" t="s">
        <v>3391</v>
      </c>
      <c r="P1118" s="132" t="s">
        <v>3714</v>
      </c>
      <c r="Q1118" s="132" t="s">
        <v>3689</v>
      </c>
      <c r="R1118" s="132" t="s">
        <v>1108</v>
      </c>
    </row>
    <row r="1119" spans="1:18" x14ac:dyDescent="0.2">
      <c r="A1119" t="s">
        <v>225</v>
      </c>
      <c r="B1119" s="141">
        <f t="shared" si="17"/>
        <v>5.55</v>
      </c>
      <c r="C1119" s="280">
        <v>45761</v>
      </c>
      <c r="D1119" s="279">
        <v>45764</v>
      </c>
      <c r="E1119" s="279">
        <v>45764</v>
      </c>
      <c r="F1119" s="132"/>
      <c r="G1119" s="132" t="s">
        <v>1108</v>
      </c>
      <c r="H1119" s="132" t="s">
        <v>373</v>
      </c>
      <c r="I1119" s="132" t="s">
        <v>1100</v>
      </c>
      <c r="J1119" s="132" t="s">
        <v>1926</v>
      </c>
      <c r="K1119" s="132" t="s">
        <v>2042</v>
      </c>
      <c r="L1119" s="132" t="s">
        <v>2834</v>
      </c>
      <c r="M1119" s="132" t="s">
        <v>3715</v>
      </c>
      <c r="N1119" s="132" t="s">
        <v>1112</v>
      </c>
      <c r="O1119" s="132" t="s">
        <v>3391</v>
      </c>
      <c r="P1119" s="132" t="s">
        <v>3716</v>
      </c>
      <c r="Q1119" s="132" t="s">
        <v>3689</v>
      </c>
      <c r="R1119" s="132" t="s">
        <v>1108</v>
      </c>
    </row>
    <row r="1120" spans="1:18" x14ac:dyDescent="0.2">
      <c r="A1120" t="s">
        <v>225</v>
      </c>
      <c r="B1120" s="141">
        <f t="shared" si="17"/>
        <v>5.55</v>
      </c>
      <c r="C1120" s="280">
        <v>45761</v>
      </c>
      <c r="D1120" s="279">
        <v>45764</v>
      </c>
      <c r="E1120" s="279">
        <v>45764</v>
      </c>
      <c r="F1120" s="132"/>
      <c r="G1120" s="132" t="s">
        <v>1108</v>
      </c>
      <c r="H1120" s="132" t="s">
        <v>373</v>
      </c>
      <c r="I1120" s="132" t="s">
        <v>1100</v>
      </c>
      <c r="J1120" s="132" t="s">
        <v>1926</v>
      </c>
      <c r="K1120" s="132" t="s">
        <v>2042</v>
      </c>
      <c r="L1120" s="132" t="s">
        <v>2834</v>
      </c>
      <c r="M1120" s="132" t="s">
        <v>3717</v>
      </c>
      <c r="N1120" s="132" t="s">
        <v>1112</v>
      </c>
      <c r="O1120" s="132" t="s">
        <v>3391</v>
      </c>
      <c r="P1120" s="132" t="s">
        <v>3718</v>
      </c>
      <c r="Q1120" s="132" t="s">
        <v>3689</v>
      </c>
      <c r="R1120" s="132" t="s">
        <v>1108</v>
      </c>
    </row>
    <row r="1121" spans="1:18" x14ac:dyDescent="0.2">
      <c r="A1121" t="s">
        <v>225</v>
      </c>
      <c r="B1121" s="141">
        <f t="shared" si="17"/>
        <v>5.59</v>
      </c>
      <c r="C1121" s="280">
        <v>45761</v>
      </c>
      <c r="D1121" s="279">
        <v>45764</v>
      </c>
      <c r="E1121" s="279">
        <v>45764</v>
      </c>
      <c r="F1121" s="132"/>
      <c r="G1121" s="132" t="s">
        <v>1588</v>
      </c>
      <c r="H1121" s="132" t="s">
        <v>373</v>
      </c>
      <c r="I1121" s="132" t="s">
        <v>1100</v>
      </c>
      <c r="J1121" s="132" t="s">
        <v>1926</v>
      </c>
      <c r="K1121" s="132" t="s">
        <v>1927</v>
      </c>
      <c r="L1121" s="132" t="s">
        <v>1928</v>
      </c>
      <c r="M1121" s="132" t="s">
        <v>3719</v>
      </c>
      <c r="N1121" s="132" t="s">
        <v>1105</v>
      </c>
      <c r="O1121" s="132" t="s">
        <v>3391</v>
      </c>
      <c r="P1121" s="132" t="s">
        <v>3720</v>
      </c>
      <c r="Q1121" s="132" t="s">
        <v>3689</v>
      </c>
      <c r="R1121" s="132" t="s">
        <v>1108</v>
      </c>
    </row>
    <row r="1122" spans="1:18" x14ac:dyDescent="0.2">
      <c r="A1122" t="s">
        <v>225</v>
      </c>
      <c r="B1122" s="141">
        <f t="shared" si="17"/>
        <v>5.59</v>
      </c>
      <c r="C1122" s="280">
        <v>45762</v>
      </c>
      <c r="D1122" s="279">
        <v>45764</v>
      </c>
      <c r="E1122" s="279">
        <v>45764</v>
      </c>
      <c r="F1122" s="132"/>
      <c r="G1122" s="132" t="s">
        <v>1108</v>
      </c>
      <c r="H1122" s="132" t="s">
        <v>373</v>
      </c>
      <c r="I1122" s="132" t="s">
        <v>1100</v>
      </c>
      <c r="J1122" s="132" t="s">
        <v>1926</v>
      </c>
      <c r="K1122" s="132" t="s">
        <v>1927</v>
      </c>
      <c r="L1122" s="132" t="s">
        <v>1928</v>
      </c>
      <c r="M1122" s="132" t="s">
        <v>3721</v>
      </c>
      <c r="N1122" s="132" t="s">
        <v>1117</v>
      </c>
      <c r="O1122" s="132" t="s">
        <v>3391</v>
      </c>
      <c r="P1122" s="132" t="s">
        <v>3722</v>
      </c>
      <c r="Q1122" s="132" t="s">
        <v>3689</v>
      </c>
      <c r="R1122" s="132" t="s">
        <v>1108</v>
      </c>
    </row>
    <row r="1123" spans="1:18" x14ac:dyDescent="0.2">
      <c r="A1123" t="s">
        <v>226</v>
      </c>
      <c r="B1123" s="141">
        <f t="shared" si="17"/>
        <v>7.5</v>
      </c>
      <c r="C1123" s="280">
        <v>45762</v>
      </c>
      <c r="D1123" s="279">
        <v>45769</v>
      </c>
      <c r="E1123" s="279">
        <v>45769</v>
      </c>
      <c r="F1123" s="132"/>
      <c r="G1123" s="132" t="s">
        <v>1108</v>
      </c>
      <c r="H1123" s="132" t="s">
        <v>373</v>
      </c>
      <c r="I1123" s="132" t="s">
        <v>1100</v>
      </c>
      <c r="J1123" s="132" t="s">
        <v>1949</v>
      </c>
      <c r="K1123" s="132" t="s">
        <v>2170</v>
      </c>
      <c r="L1123" s="132" t="s">
        <v>3057</v>
      </c>
      <c r="M1123" s="132" t="s">
        <v>3723</v>
      </c>
      <c r="N1123" s="132" t="s">
        <v>1112</v>
      </c>
      <c r="O1123" s="132" t="s">
        <v>3391</v>
      </c>
      <c r="P1123" s="132" t="s">
        <v>3724</v>
      </c>
      <c r="Q1123" s="132" t="s">
        <v>3725</v>
      </c>
      <c r="R1123" s="132" t="s">
        <v>1108</v>
      </c>
    </row>
    <row r="1124" spans="1:18" x14ac:dyDescent="0.2">
      <c r="A1124" t="s">
        <v>225</v>
      </c>
      <c r="B1124" s="141">
        <f t="shared" si="17"/>
        <v>5.55</v>
      </c>
      <c r="C1124" s="280">
        <v>45762</v>
      </c>
      <c r="D1124" s="279">
        <v>45769</v>
      </c>
      <c r="E1124" s="279">
        <v>45769</v>
      </c>
      <c r="F1124" s="132"/>
      <c r="G1124" s="132" t="s">
        <v>1108</v>
      </c>
      <c r="H1124" s="132" t="s">
        <v>373</v>
      </c>
      <c r="I1124" s="132" t="s">
        <v>1100</v>
      </c>
      <c r="J1124" s="132" t="s">
        <v>1926</v>
      </c>
      <c r="K1124" s="132" t="s">
        <v>2042</v>
      </c>
      <c r="L1124" s="132" t="s">
        <v>2834</v>
      </c>
      <c r="M1124" s="132" t="s">
        <v>3726</v>
      </c>
      <c r="N1124" s="132" t="s">
        <v>1112</v>
      </c>
      <c r="O1124" s="132" t="s">
        <v>3391</v>
      </c>
      <c r="P1124" s="132" t="s">
        <v>3727</v>
      </c>
      <c r="Q1124" s="132" t="s">
        <v>3725</v>
      </c>
      <c r="R1124" s="132" t="s">
        <v>1108</v>
      </c>
    </row>
    <row r="1125" spans="1:18" x14ac:dyDescent="0.2">
      <c r="A1125" t="s">
        <v>225</v>
      </c>
      <c r="B1125" s="141">
        <f t="shared" si="17"/>
        <v>5.59</v>
      </c>
      <c r="C1125" s="280">
        <v>45762</v>
      </c>
      <c r="D1125" s="279">
        <v>45769</v>
      </c>
      <c r="E1125" s="279">
        <v>45769</v>
      </c>
      <c r="F1125" s="132"/>
      <c r="G1125" s="132" t="s">
        <v>1108</v>
      </c>
      <c r="H1125" s="132" t="s">
        <v>373</v>
      </c>
      <c r="I1125" s="132" t="s">
        <v>1100</v>
      </c>
      <c r="J1125" s="132" t="s">
        <v>1926</v>
      </c>
      <c r="K1125" s="132" t="s">
        <v>1927</v>
      </c>
      <c r="L1125" s="132" t="s">
        <v>1928</v>
      </c>
      <c r="M1125" s="132" t="s">
        <v>3728</v>
      </c>
      <c r="N1125" s="132" t="s">
        <v>1117</v>
      </c>
      <c r="O1125" s="132" t="s">
        <v>3391</v>
      </c>
      <c r="P1125" s="132" t="s">
        <v>3729</v>
      </c>
      <c r="Q1125" s="132" t="s">
        <v>3725</v>
      </c>
      <c r="R1125" s="132" t="s">
        <v>1108</v>
      </c>
    </row>
    <row r="1126" spans="1:18" x14ac:dyDescent="0.2">
      <c r="A1126" t="s">
        <v>226</v>
      </c>
      <c r="B1126" s="141">
        <f t="shared" si="17"/>
        <v>7.55</v>
      </c>
      <c r="C1126" s="280">
        <v>45762</v>
      </c>
      <c r="D1126" s="279">
        <v>45769</v>
      </c>
      <c r="E1126" s="279">
        <v>45769</v>
      </c>
      <c r="F1126" s="132"/>
      <c r="G1126" s="132" t="s">
        <v>1108</v>
      </c>
      <c r="H1126" s="132" t="s">
        <v>373</v>
      </c>
      <c r="I1126" s="132" t="s">
        <v>1100</v>
      </c>
      <c r="J1126" s="132" t="s">
        <v>1949</v>
      </c>
      <c r="K1126" s="132" t="s">
        <v>1950</v>
      </c>
      <c r="L1126" s="132" t="s">
        <v>1951</v>
      </c>
      <c r="M1126" s="132" t="s">
        <v>3730</v>
      </c>
      <c r="N1126" s="132" t="s">
        <v>1117</v>
      </c>
      <c r="O1126" s="132" t="s">
        <v>3391</v>
      </c>
      <c r="P1126" s="132" t="s">
        <v>3731</v>
      </c>
      <c r="Q1126" s="132" t="s">
        <v>3725</v>
      </c>
      <c r="R1126" s="132" t="s">
        <v>1108</v>
      </c>
    </row>
    <row r="1127" spans="1:18" x14ac:dyDescent="0.2">
      <c r="A1127" t="s">
        <v>225</v>
      </c>
      <c r="B1127" s="141">
        <f t="shared" si="17"/>
        <v>5.55</v>
      </c>
      <c r="C1127" s="280">
        <v>45762</v>
      </c>
      <c r="D1127" s="279">
        <v>45769</v>
      </c>
      <c r="E1127" s="279">
        <v>45769</v>
      </c>
      <c r="F1127" s="132"/>
      <c r="G1127" s="132" t="s">
        <v>1108</v>
      </c>
      <c r="H1127" s="132" t="s">
        <v>373</v>
      </c>
      <c r="I1127" s="132" t="s">
        <v>1100</v>
      </c>
      <c r="J1127" s="132" t="s">
        <v>1926</v>
      </c>
      <c r="K1127" s="132" t="s">
        <v>2042</v>
      </c>
      <c r="L1127" s="132" t="s">
        <v>2834</v>
      </c>
      <c r="M1127" s="132" t="s">
        <v>3732</v>
      </c>
      <c r="N1127" s="132" t="s">
        <v>1112</v>
      </c>
      <c r="O1127" s="132" t="s">
        <v>3391</v>
      </c>
      <c r="P1127" s="132" t="s">
        <v>3733</v>
      </c>
      <c r="Q1127" s="132" t="s">
        <v>3725</v>
      </c>
      <c r="R1127" s="132" t="s">
        <v>1108</v>
      </c>
    </row>
    <row r="1128" spans="1:18" x14ac:dyDescent="0.2">
      <c r="A1128" t="s">
        <v>225</v>
      </c>
      <c r="B1128" s="141">
        <f t="shared" si="17"/>
        <v>5.59</v>
      </c>
      <c r="C1128" s="280">
        <v>45762</v>
      </c>
      <c r="D1128" s="279">
        <v>45769</v>
      </c>
      <c r="E1128" s="279">
        <v>45769</v>
      </c>
      <c r="F1128" s="132"/>
      <c r="G1128" s="132" t="s">
        <v>1108</v>
      </c>
      <c r="H1128" s="132" t="s">
        <v>373</v>
      </c>
      <c r="I1128" s="132" t="s">
        <v>1100</v>
      </c>
      <c r="J1128" s="132" t="s">
        <v>1926</v>
      </c>
      <c r="K1128" s="132" t="s">
        <v>1927</v>
      </c>
      <c r="L1128" s="132" t="s">
        <v>1928</v>
      </c>
      <c r="M1128" s="132" t="s">
        <v>3734</v>
      </c>
      <c r="N1128" s="132" t="s">
        <v>1117</v>
      </c>
      <c r="O1128" s="132" t="s">
        <v>3391</v>
      </c>
      <c r="P1128" s="132" t="s">
        <v>3735</v>
      </c>
      <c r="Q1128" s="132" t="s">
        <v>3725</v>
      </c>
      <c r="R1128" s="132" t="s">
        <v>1108</v>
      </c>
    </row>
    <row r="1129" spans="1:18" x14ac:dyDescent="0.2">
      <c r="A1129" t="s">
        <v>225</v>
      </c>
      <c r="B1129" s="141">
        <f t="shared" si="17"/>
        <v>5.55</v>
      </c>
      <c r="C1129" s="280">
        <v>45762</v>
      </c>
      <c r="D1129" s="279">
        <v>45769</v>
      </c>
      <c r="E1129" s="279">
        <v>45769</v>
      </c>
      <c r="F1129" s="132"/>
      <c r="G1129" s="132" t="s">
        <v>1108</v>
      </c>
      <c r="H1129" s="132" t="s">
        <v>373</v>
      </c>
      <c r="I1129" s="132" t="s">
        <v>1100</v>
      </c>
      <c r="J1129" s="132" t="s">
        <v>1926</v>
      </c>
      <c r="K1129" s="132" t="s">
        <v>2042</v>
      </c>
      <c r="L1129" s="132" t="s">
        <v>2834</v>
      </c>
      <c r="M1129" s="132" t="s">
        <v>3736</v>
      </c>
      <c r="N1129" s="132" t="s">
        <v>1112</v>
      </c>
      <c r="O1129" s="132" t="s">
        <v>3391</v>
      </c>
      <c r="P1129" s="132" t="s">
        <v>3737</v>
      </c>
      <c r="Q1129" s="132" t="s">
        <v>3725</v>
      </c>
      <c r="R1129" s="132" t="s">
        <v>1108</v>
      </c>
    </row>
    <row r="1130" spans="1:18" x14ac:dyDescent="0.2">
      <c r="A1130" s="96" t="s">
        <v>225</v>
      </c>
      <c r="B1130" s="141">
        <f t="shared" si="17"/>
        <v>5.59</v>
      </c>
      <c r="C1130" s="280">
        <v>45762</v>
      </c>
      <c r="D1130" s="279">
        <v>45769</v>
      </c>
      <c r="E1130" s="279">
        <v>45769</v>
      </c>
      <c r="F1130" s="132"/>
      <c r="G1130" s="132" t="s">
        <v>1108</v>
      </c>
      <c r="H1130" s="132" t="s">
        <v>373</v>
      </c>
      <c r="I1130" s="132" t="s">
        <v>1100</v>
      </c>
      <c r="J1130" s="132" t="s">
        <v>1926</v>
      </c>
      <c r="K1130" s="132" t="s">
        <v>1927</v>
      </c>
      <c r="L1130" s="132" t="s">
        <v>1928</v>
      </c>
      <c r="M1130" s="132" t="s">
        <v>3738</v>
      </c>
      <c r="N1130" s="132" t="s">
        <v>1117</v>
      </c>
      <c r="O1130" s="132" t="s">
        <v>3391</v>
      </c>
      <c r="P1130" s="132" t="s">
        <v>3739</v>
      </c>
      <c r="Q1130" s="132" t="s">
        <v>3725</v>
      </c>
      <c r="R1130" s="132" t="s">
        <v>1108</v>
      </c>
    </row>
    <row r="1131" spans="1:18" x14ac:dyDescent="0.2">
      <c r="A1131" s="96" t="s">
        <v>225</v>
      </c>
      <c r="B1131" s="141">
        <f t="shared" si="17"/>
        <v>5.55</v>
      </c>
      <c r="C1131" s="280">
        <v>45762</v>
      </c>
      <c r="D1131" s="279">
        <v>45769</v>
      </c>
      <c r="E1131" s="279">
        <v>45769</v>
      </c>
      <c r="F1131" s="132"/>
      <c r="G1131" s="132" t="s">
        <v>1108</v>
      </c>
      <c r="H1131" s="132" t="s">
        <v>373</v>
      </c>
      <c r="I1131" s="132" t="s">
        <v>1100</v>
      </c>
      <c r="J1131" s="132" t="s">
        <v>1926</v>
      </c>
      <c r="K1131" s="132" t="s">
        <v>2042</v>
      </c>
      <c r="L1131" s="132" t="s">
        <v>2834</v>
      </c>
      <c r="M1131" s="132" t="s">
        <v>3740</v>
      </c>
      <c r="N1131" s="132" t="s">
        <v>1112</v>
      </c>
      <c r="O1131" s="132" t="s">
        <v>3391</v>
      </c>
      <c r="P1131" s="132" t="s">
        <v>3741</v>
      </c>
      <c r="Q1131" s="132" t="s">
        <v>3725</v>
      </c>
      <c r="R1131" s="132" t="s">
        <v>1108</v>
      </c>
    </row>
    <row r="1132" spans="1:18" x14ac:dyDescent="0.2">
      <c r="A1132" s="96" t="s">
        <v>225</v>
      </c>
      <c r="B1132" s="141">
        <f t="shared" si="17"/>
        <v>5.59</v>
      </c>
      <c r="C1132" s="280">
        <v>45762</v>
      </c>
      <c r="D1132" s="279">
        <v>45769</v>
      </c>
      <c r="E1132" s="279">
        <v>45769</v>
      </c>
      <c r="F1132" s="132"/>
      <c r="G1132" s="132" t="s">
        <v>1108</v>
      </c>
      <c r="H1132" s="132" t="s">
        <v>373</v>
      </c>
      <c r="I1132" s="132" t="s">
        <v>1100</v>
      </c>
      <c r="J1132" s="132" t="s">
        <v>1926</v>
      </c>
      <c r="K1132" s="132" t="s">
        <v>1927</v>
      </c>
      <c r="L1132" s="132" t="s">
        <v>1928</v>
      </c>
      <c r="M1132" s="132" t="s">
        <v>3742</v>
      </c>
      <c r="N1132" s="132" t="s">
        <v>1117</v>
      </c>
      <c r="O1132" s="132" t="s">
        <v>3391</v>
      </c>
      <c r="P1132" s="132" t="s">
        <v>3743</v>
      </c>
      <c r="Q1132" s="132" t="s">
        <v>3725</v>
      </c>
      <c r="R1132" s="132" t="s">
        <v>1108</v>
      </c>
    </row>
    <row r="1133" spans="1:18" x14ac:dyDescent="0.2">
      <c r="A1133" s="96" t="s">
        <v>225</v>
      </c>
      <c r="B1133" s="141">
        <f t="shared" si="17"/>
        <v>5.55</v>
      </c>
      <c r="C1133" s="280">
        <v>45762</v>
      </c>
      <c r="D1133" s="279">
        <v>45769</v>
      </c>
      <c r="E1133" s="279">
        <v>45769</v>
      </c>
      <c r="F1133" s="132"/>
      <c r="G1133" s="132" t="s">
        <v>1108</v>
      </c>
      <c r="H1133" s="132" t="s">
        <v>373</v>
      </c>
      <c r="I1133" s="132" t="s">
        <v>1100</v>
      </c>
      <c r="J1133" s="132" t="s">
        <v>1926</v>
      </c>
      <c r="K1133" s="132" t="s">
        <v>2042</v>
      </c>
      <c r="L1133" s="132" t="s">
        <v>2834</v>
      </c>
      <c r="M1133" s="132" t="s">
        <v>3744</v>
      </c>
      <c r="N1133" s="132" t="s">
        <v>1112</v>
      </c>
      <c r="O1133" s="132" t="s">
        <v>3391</v>
      </c>
      <c r="P1133" s="132" t="s">
        <v>3745</v>
      </c>
      <c r="Q1133" s="132" t="s">
        <v>3725</v>
      </c>
      <c r="R1133" s="132" t="s">
        <v>1108</v>
      </c>
    </row>
    <row r="1134" spans="1:18" x14ac:dyDescent="0.2">
      <c r="A1134" s="96" t="s">
        <v>225</v>
      </c>
      <c r="B1134" s="141">
        <f t="shared" si="17"/>
        <v>5.55</v>
      </c>
      <c r="C1134" s="280">
        <v>45762</v>
      </c>
      <c r="D1134" s="279">
        <v>45769</v>
      </c>
      <c r="E1134" s="279">
        <v>45769</v>
      </c>
      <c r="F1134" s="132"/>
      <c r="G1134" s="132" t="s">
        <v>1108</v>
      </c>
      <c r="H1134" s="132" t="s">
        <v>373</v>
      </c>
      <c r="I1134" s="132" t="s">
        <v>1100</v>
      </c>
      <c r="J1134" s="132" t="s">
        <v>1926</v>
      </c>
      <c r="K1134" s="132" t="s">
        <v>2042</v>
      </c>
      <c r="L1134" s="132" t="s">
        <v>2834</v>
      </c>
      <c r="M1134" s="132" t="s">
        <v>3746</v>
      </c>
      <c r="N1134" s="132" t="s">
        <v>1112</v>
      </c>
      <c r="O1134" s="132" t="s">
        <v>3391</v>
      </c>
      <c r="P1134" s="132" t="s">
        <v>3747</v>
      </c>
      <c r="Q1134" s="132" t="s">
        <v>3725</v>
      </c>
      <c r="R1134" s="132" t="s">
        <v>1108</v>
      </c>
    </row>
    <row r="1135" spans="1:18" x14ac:dyDescent="0.2">
      <c r="A1135" s="96" t="s">
        <v>225</v>
      </c>
      <c r="B1135" s="141">
        <f t="shared" si="17"/>
        <v>5.59</v>
      </c>
      <c r="C1135" s="280">
        <v>45762</v>
      </c>
      <c r="D1135" s="279">
        <v>45769</v>
      </c>
      <c r="E1135" s="279">
        <v>45769</v>
      </c>
      <c r="F1135" s="132"/>
      <c r="G1135" s="132" t="s">
        <v>1108</v>
      </c>
      <c r="H1135" s="132" t="s">
        <v>373</v>
      </c>
      <c r="I1135" s="132" t="s">
        <v>1100</v>
      </c>
      <c r="J1135" s="132" t="s">
        <v>1926</v>
      </c>
      <c r="K1135" s="132" t="s">
        <v>1927</v>
      </c>
      <c r="L1135" s="132" t="s">
        <v>1928</v>
      </c>
      <c r="M1135" s="132" t="s">
        <v>3748</v>
      </c>
      <c r="N1135" s="132" t="s">
        <v>1117</v>
      </c>
      <c r="O1135" s="132" t="s">
        <v>3391</v>
      </c>
      <c r="P1135" s="132" t="s">
        <v>3749</v>
      </c>
      <c r="Q1135" s="132" t="s">
        <v>3725</v>
      </c>
      <c r="R1135" s="132" t="s">
        <v>1108</v>
      </c>
    </row>
    <row r="1136" spans="1:18" x14ac:dyDescent="0.2">
      <c r="A1136" s="96" t="s">
        <v>225</v>
      </c>
      <c r="B1136" s="141">
        <f t="shared" si="17"/>
        <v>5.55</v>
      </c>
      <c r="C1136" s="280">
        <v>45762</v>
      </c>
      <c r="D1136" s="279">
        <v>45769</v>
      </c>
      <c r="E1136" s="279">
        <v>45769</v>
      </c>
      <c r="F1136" s="132"/>
      <c r="G1136" s="132" t="s">
        <v>1108</v>
      </c>
      <c r="H1136" s="132" t="s">
        <v>373</v>
      </c>
      <c r="I1136" s="132" t="s">
        <v>1100</v>
      </c>
      <c r="J1136" s="132" t="s">
        <v>1926</v>
      </c>
      <c r="K1136" s="132" t="s">
        <v>2042</v>
      </c>
      <c r="L1136" s="132" t="s">
        <v>2834</v>
      </c>
      <c r="M1136" s="132" t="s">
        <v>3750</v>
      </c>
      <c r="N1136" s="132" t="s">
        <v>1112</v>
      </c>
      <c r="O1136" s="132" t="s">
        <v>3391</v>
      </c>
      <c r="P1136" s="132" t="s">
        <v>3751</v>
      </c>
      <c r="Q1136" s="132" t="s">
        <v>3725</v>
      </c>
      <c r="R1136" s="132" t="s">
        <v>1108</v>
      </c>
    </row>
    <row r="1137" spans="1:18" x14ac:dyDescent="0.2">
      <c r="A1137" s="96" t="s">
        <v>225</v>
      </c>
      <c r="B1137" s="141">
        <f t="shared" si="17"/>
        <v>5.55</v>
      </c>
      <c r="C1137" s="280">
        <v>45762</v>
      </c>
      <c r="D1137" s="279">
        <v>45769</v>
      </c>
      <c r="E1137" s="279">
        <v>45769</v>
      </c>
      <c r="F1137" s="132"/>
      <c r="G1137" s="132" t="s">
        <v>1108</v>
      </c>
      <c r="H1137" s="132" t="s">
        <v>373</v>
      </c>
      <c r="I1137" s="132" t="s">
        <v>1100</v>
      </c>
      <c r="J1137" s="132" t="s">
        <v>1926</v>
      </c>
      <c r="K1137" s="132" t="s">
        <v>2042</v>
      </c>
      <c r="L1137" s="132" t="s">
        <v>2834</v>
      </c>
      <c r="M1137" s="132" t="s">
        <v>3752</v>
      </c>
      <c r="N1137" s="132" t="s">
        <v>1112</v>
      </c>
      <c r="O1137" s="132" t="s">
        <v>3391</v>
      </c>
      <c r="P1137" s="132" t="s">
        <v>3753</v>
      </c>
      <c r="Q1137" s="132" t="s">
        <v>3725</v>
      </c>
      <c r="R1137" s="132" t="s">
        <v>1108</v>
      </c>
    </row>
    <row r="1138" spans="1:18" x14ac:dyDescent="0.2">
      <c r="A1138" t="s">
        <v>189</v>
      </c>
      <c r="B1138" s="141">
        <f t="shared" si="17"/>
        <v>7.55</v>
      </c>
      <c r="C1138" s="280">
        <v>45769</v>
      </c>
      <c r="D1138" s="279">
        <v>45772</v>
      </c>
      <c r="E1138" s="279">
        <v>45772</v>
      </c>
      <c r="F1138" s="132"/>
      <c r="G1138" s="132" t="s">
        <v>1108</v>
      </c>
      <c r="H1138" s="132" t="s">
        <v>373</v>
      </c>
      <c r="I1138" s="132" t="s">
        <v>1100</v>
      </c>
      <c r="J1138" s="132" t="s">
        <v>1949</v>
      </c>
      <c r="K1138" s="132" t="s">
        <v>1950</v>
      </c>
      <c r="L1138" s="132" t="s">
        <v>1951</v>
      </c>
      <c r="M1138" s="132" t="s">
        <v>3754</v>
      </c>
      <c r="N1138" s="132" t="s">
        <v>1117</v>
      </c>
      <c r="O1138" s="132" t="s">
        <v>3391</v>
      </c>
      <c r="P1138" s="132" t="s">
        <v>3755</v>
      </c>
      <c r="Q1138" s="132" t="s">
        <v>3756</v>
      </c>
      <c r="R1138" s="132" t="s">
        <v>1108</v>
      </c>
    </row>
    <row r="1139" spans="1:18" x14ac:dyDescent="0.2">
      <c r="A1139" t="s">
        <v>189</v>
      </c>
      <c r="B1139" s="141">
        <f t="shared" si="17"/>
        <v>7.55</v>
      </c>
      <c r="C1139" s="280">
        <v>45769</v>
      </c>
      <c r="D1139" s="279">
        <v>45772</v>
      </c>
      <c r="E1139" s="279">
        <v>45772</v>
      </c>
      <c r="F1139" s="132"/>
      <c r="G1139" s="132" t="s">
        <v>3757</v>
      </c>
      <c r="H1139" s="132" t="s">
        <v>373</v>
      </c>
      <c r="I1139" s="132" t="s">
        <v>1100</v>
      </c>
      <c r="J1139" s="132" t="s">
        <v>1949</v>
      </c>
      <c r="K1139" s="132" t="s">
        <v>1950</v>
      </c>
      <c r="L1139" s="132" t="s">
        <v>1951</v>
      </c>
      <c r="M1139" s="132" t="s">
        <v>3758</v>
      </c>
      <c r="N1139" s="132" t="s">
        <v>1105</v>
      </c>
      <c r="O1139" s="132" t="s">
        <v>3391</v>
      </c>
      <c r="P1139" s="132" t="s">
        <v>3759</v>
      </c>
      <c r="Q1139" s="132" t="s">
        <v>3756</v>
      </c>
      <c r="R1139" s="132" t="s">
        <v>1108</v>
      </c>
    </row>
    <row r="1140" spans="1:18" x14ac:dyDescent="0.2">
      <c r="A1140" t="s">
        <v>189</v>
      </c>
      <c r="B1140" s="141">
        <f t="shared" si="17"/>
        <v>7.55</v>
      </c>
      <c r="C1140" s="280">
        <v>45769</v>
      </c>
      <c r="D1140" s="279">
        <v>45772</v>
      </c>
      <c r="E1140" s="279">
        <v>45772</v>
      </c>
      <c r="F1140" s="132"/>
      <c r="G1140" s="132" t="s">
        <v>1108</v>
      </c>
      <c r="H1140" s="132" t="s">
        <v>373</v>
      </c>
      <c r="I1140" s="132" t="s">
        <v>1100</v>
      </c>
      <c r="J1140" s="132" t="s">
        <v>1949</v>
      </c>
      <c r="K1140" s="132" t="s">
        <v>1950</v>
      </c>
      <c r="L1140" s="132" t="s">
        <v>1951</v>
      </c>
      <c r="M1140" s="132" t="s">
        <v>3760</v>
      </c>
      <c r="N1140" s="132" t="s">
        <v>1117</v>
      </c>
      <c r="O1140" s="132" t="s">
        <v>3391</v>
      </c>
      <c r="P1140" s="132" t="s">
        <v>3761</v>
      </c>
      <c r="Q1140" s="132" t="s">
        <v>3756</v>
      </c>
      <c r="R1140" s="132" t="s">
        <v>1108</v>
      </c>
    </row>
    <row r="1141" spans="1:18" x14ac:dyDescent="0.2">
      <c r="A1141" t="s">
        <v>189</v>
      </c>
      <c r="B1141" s="141">
        <f t="shared" si="17"/>
        <v>7.55</v>
      </c>
      <c r="C1141" s="280">
        <v>45769</v>
      </c>
      <c r="D1141" s="279">
        <v>45772</v>
      </c>
      <c r="E1141" s="279">
        <v>45772</v>
      </c>
      <c r="F1141" s="132"/>
      <c r="G1141" s="132" t="s">
        <v>1108</v>
      </c>
      <c r="H1141" s="132" t="s">
        <v>373</v>
      </c>
      <c r="I1141" s="132" t="s">
        <v>1100</v>
      </c>
      <c r="J1141" s="132" t="s">
        <v>1949</v>
      </c>
      <c r="K1141" s="132" t="s">
        <v>1950</v>
      </c>
      <c r="L1141" s="132" t="s">
        <v>1951</v>
      </c>
      <c r="M1141" s="132" t="s">
        <v>3762</v>
      </c>
      <c r="N1141" s="132" t="s">
        <v>1117</v>
      </c>
      <c r="O1141" s="132" t="s">
        <v>3391</v>
      </c>
      <c r="P1141" s="132" t="s">
        <v>3763</v>
      </c>
      <c r="Q1141" s="132" t="s">
        <v>3756</v>
      </c>
      <c r="R1141" s="132" t="s">
        <v>1108</v>
      </c>
    </row>
    <row r="1142" spans="1:18" x14ac:dyDescent="0.2">
      <c r="A1142" t="s">
        <v>189</v>
      </c>
      <c r="B1142" s="141">
        <f t="shared" si="17"/>
        <v>7.5</v>
      </c>
      <c r="C1142" s="280">
        <v>45769</v>
      </c>
      <c r="D1142" s="279">
        <v>45772</v>
      </c>
      <c r="E1142" s="279">
        <v>45772</v>
      </c>
      <c r="F1142" s="132"/>
      <c r="G1142" s="132" t="s">
        <v>1108</v>
      </c>
      <c r="H1142" s="132" t="s">
        <v>373</v>
      </c>
      <c r="I1142" s="132" t="s">
        <v>1100</v>
      </c>
      <c r="J1142" s="132" t="s">
        <v>1949</v>
      </c>
      <c r="K1142" s="132" t="s">
        <v>2170</v>
      </c>
      <c r="L1142" s="132" t="s">
        <v>3057</v>
      </c>
      <c r="M1142" s="132" t="s">
        <v>3764</v>
      </c>
      <c r="N1142" s="132" t="s">
        <v>1112</v>
      </c>
      <c r="O1142" s="132" t="s">
        <v>3391</v>
      </c>
      <c r="P1142" s="132" t="s">
        <v>3765</v>
      </c>
      <c r="Q1142" s="132" t="s">
        <v>3756</v>
      </c>
      <c r="R1142" s="132" t="s">
        <v>1108</v>
      </c>
    </row>
    <row r="1143" spans="1:18" x14ac:dyDescent="0.2">
      <c r="A1143" t="s">
        <v>190</v>
      </c>
      <c r="B1143" s="141">
        <f t="shared" ref="B1143:B1206" si="18">_xlfn.NUMBERVALUE(L1143)*0.01</f>
        <v>9.51</v>
      </c>
      <c r="C1143" s="280">
        <v>45769</v>
      </c>
      <c r="D1143" s="279">
        <v>45772</v>
      </c>
      <c r="E1143" s="279">
        <v>45772</v>
      </c>
      <c r="F1143" s="132"/>
      <c r="G1143" s="132" t="s">
        <v>1108</v>
      </c>
      <c r="H1143" s="132" t="s">
        <v>373</v>
      </c>
      <c r="I1143" s="132" t="s">
        <v>1100</v>
      </c>
      <c r="J1143" s="132" t="s">
        <v>3766</v>
      </c>
      <c r="K1143" s="132" t="s">
        <v>2910</v>
      </c>
      <c r="L1143" s="132" t="s">
        <v>3767</v>
      </c>
      <c r="M1143" s="132" t="s">
        <v>3768</v>
      </c>
      <c r="N1143" s="132" t="s">
        <v>1117</v>
      </c>
      <c r="O1143" s="132" t="s">
        <v>3391</v>
      </c>
      <c r="P1143" s="132" t="s">
        <v>3769</v>
      </c>
      <c r="Q1143" s="132" t="s">
        <v>3756</v>
      </c>
      <c r="R1143" s="132" t="s">
        <v>1108</v>
      </c>
    </row>
    <row r="1144" spans="1:18" x14ac:dyDescent="0.2">
      <c r="A1144" t="s">
        <v>189</v>
      </c>
      <c r="B1144" s="141">
        <f t="shared" si="18"/>
        <v>7.5</v>
      </c>
      <c r="C1144" s="280">
        <v>45769</v>
      </c>
      <c r="D1144" s="279">
        <v>45772</v>
      </c>
      <c r="E1144" s="279">
        <v>45772</v>
      </c>
      <c r="F1144" s="132"/>
      <c r="G1144" s="132" t="s">
        <v>1108</v>
      </c>
      <c r="H1144" s="132" t="s">
        <v>373</v>
      </c>
      <c r="I1144" s="132" t="s">
        <v>1100</v>
      </c>
      <c r="J1144" s="132" t="s">
        <v>1949</v>
      </c>
      <c r="K1144" s="132" t="s">
        <v>2170</v>
      </c>
      <c r="L1144" s="132" t="s">
        <v>3057</v>
      </c>
      <c r="M1144" s="132" t="s">
        <v>3770</v>
      </c>
      <c r="N1144" s="132" t="s">
        <v>1112</v>
      </c>
      <c r="O1144" s="132" t="s">
        <v>3391</v>
      </c>
      <c r="P1144" s="132" t="s">
        <v>3771</v>
      </c>
      <c r="Q1144" s="132" t="s">
        <v>3756</v>
      </c>
      <c r="R1144" s="132" t="s">
        <v>1108</v>
      </c>
    </row>
    <row r="1145" spans="1:18" x14ac:dyDescent="0.2">
      <c r="A1145" t="s">
        <v>189</v>
      </c>
      <c r="B1145" s="141">
        <f t="shared" si="18"/>
        <v>7.5</v>
      </c>
      <c r="C1145" s="280">
        <v>45769</v>
      </c>
      <c r="D1145" s="279">
        <v>45772</v>
      </c>
      <c r="E1145" s="279">
        <v>45772</v>
      </c>
      <c r="F1145" s="132"/>
      <c r="G1145" s="132" t="s">
        <v>1108</v>
      </c>
      <c r="H1145" s="132" t="s">
        <v>373</v>
      </c>
      <c r="I1145" s="132" t="s">
        <v>1100</v>
      </c>
      <c r="J1145" s="132" t="s">
        <v>1949</v>
      </c>
      <c r="K1145" s="132" t="s">
        <v>2170</v>
      </c>
      <c r="L1145" s="132" t="s">
        <v>3057</v>
      </c>
      <c r="M1145" s="132" t="s">
        <v>3772</v>
      </c>
      <c r="N1145" s="132" t="s">
        <v>1112</v>
      </c>
      <c r="O1145" s="132" t="s">
        <v>3391</v>
      </c>
      <c r="P1145" s="132" t="s">
        <v>3773</v>
      </c>
      <c r="Q1145" s="132" t="s">
        <v>3756</v>
      </c>
      <c r="R1145" s="132" t="s">
        <v>1108</v>
      </c>
    </row>
    <row r="1146" spans="1:18" x14ac:dyDescent="0.2">
      <c r="A1146" t="s">
        <v>189</v>
      </c>
      <c r="B1146" s="141">
        <f t="shared" si="18"/>
        <v>7.55</v>
      </c>
      <c r="C1146" s="280">
        <v>45769</v>
      </c>
      <c r="D1146" s="279">
        <v>45772</v>
      </c>
      <c r="E1146" s="279">
        <v>45772</v>
      </c>
      <c r="F1146" s="132"/>
      <c r="G1146" s="132" t="s">
        <v>1449</v>
      </c>
      <c r="H1146" s="132" t="s">
        <v>373</v>
      </c>
      <c r="I1146" s="132" t="s">
        <v>1100</v>
      </c>
      <c r="J1146" s="132" t="s">
        <v>1949</v>
      </c>
      <c r="K1146" s="132" t="s">
        <v>1950</v>
      </c>
      <c r="L1146" s="132" t="s">
        <v>1951</v>
      </c>
      <c r="M1146" s="132" t="s">
        <v>3774</v>
      </c>
      <c r="N1146" s="132" t="s">
        <v>1105</v>
      </c>
      <c r="O1146" s="132" t="s">
        <v>3391</v>
      </c>
      <c r="P1146" s="132" t="s">
        <v>3775</v>
      </c>
      <c r="Q1146" s="132" t="s">
        <v>3756</v>
      </c>
      <c r="R1146" s="132" t="s">
        <v>1108</v>
      </c>
    </row>
    <row r="1147" spans="1:18" x14ac:dyDescent="0.2">
      <c r="A1147" t="s">
        <v>189</v>
      </c>
      <c r="B1147" s="141">
        <f t="shared" si="18"/>
        <v>7.5</v>
      </c>
      <c r="C1147" s="280">
        <v>45769</v>
      </c>
      <c r="D1147" s="279">
        <v>45772</v>
      </c>
      <c r="E1147" s="279">
        <v>45772</v>
      </c>
      <c r="F1147" s="132"/>
      <c r="G1147" s="132" t="s">
        <v>1108</v>
      </c>
      <c r="H1147" s="132" t="s">
        <v>373</v>
      </c>
      <c r="I1147" s="132" t="s">
        <v>1100</v>
      </c>
      <c r="J1147" s="132" t="s">
        <v>1949</v>
      </c>
      <c r="K1147" s="132" t="s">
        <v>2170</v>
      </c>
      <c r="L1147" s="132" t="s">
        <v>3057</v>
      </c>
      <c r="M1147" s="132" t="s">
        <v>3776</v>
      </c>
      <c r="N1147" s="132" t="s">
        <v>1112</v>
      </c>
      <c r="O1147" s="132" t="s">
        <v>3391</v>
      </c>
      <c r="P1147" s="132" t="s">
        <v>3777</v>
      </c>
      <c r="Q1147" s="132" t="s">
        <v>3756</v>
      </c>
      <c r="R1147" s="132" t="s">
        <v>1108</v>
      </c>
    </row>
    <row r="1148" spans="1:18" x14ac:dyDescent="0.2">
      <c r="A1148" t="s">
        <v>189</v>
      </c>
      <c r="B1148" s="141">
        <f t="shared" si="18"/>
        <v>7.55</v>
      </c>
      <c r="C1148" s="280">
        <v>45769</v>
      </c>
      <c r="D1148" s="279">
        <v>45772</v>
      </c>
      <c r="E1148" s="279">
        <v>45772</v>
      </c>
      <c r="F1148" s="132"/>
      <c r="G1148" s="132" t="s">
        <v>1108</v>
      </c>
      <c r="H1148" s="132" t="s">
        <v>373</v>
      </c>
      <c r="I1148" s="132" t="s">
        <v>1100</v>
      </c>
      <c r="J1148" s="132" t="s">
        <v>1949</v>
      </c>
      <c r="K1148" s="132" t="s">
        <v>1950</v>
      </c>
      <c r="L1148" s="132" t="s">
        <v>1951</v>
      </c>
      <c r="M1148" s="132" t="s">
        <v>3778</v>
      </c>
      <c r="N1148" s="132" t="s">
        <v>1117</v>
      </c>
      <c r="O1148" s="132" t="s">
        <v>3391</v>
      </c>
      <c r="P1148" s="132" t="s">
        <v>3779</v>
      </c>
      <c r="Q1148" s="132" t="s">
        <v>3756</v>
      </c>
      <c r="R1148" s="132" t="s">
        <v>1108</v>
      </c>
    </row>
    <row r="1149" spans="1:18" x14ac:dyDescent="0.2">
      <c r="A1149" t="s">
        <v>189</v>
      </c>
      <c r="B1149" s="141">
        <f t="shared" si="18"/>
        <v>7.5</v>
      </c>
      <c r="C1149" s="280">
        <v>45769</v>
      </c>
      <c r="D1149" s="279">
        <v>45772</v>
      </c>
      <c r="E1149" s="279">
        <v>45772</v>
      </c>
      <c r="F1149" s="132"/>
      <c r="G1149" s="132" t="s">
        <v>1108</v>
      </c>
      <c r="H1149" s="132" t="s">
        <v>373</v>
      </c>
      <c r="I1149" s="132" t="s">
        <v>1100</v>
      </c>
      <c r="J1149" s="132" t="s">
        <v>1949</v>
      </c>
      <c r="K1149" s="132" t="s">
        <v>2170</v>
      </c>
      <c r="L1149" s="132" t="s">
        <v>3057</v>
      </c>
      <c r="M1149" s="132" t="s">
        <v>3780</v>
      </c>
      <c r="N1149" s="132" t="s">
        <v>1112</v>
      </c>
      <c r="O1149" s="132" t="s">
        <v>3391</v>
      </c>
      <c r="P1149" s="132" t="s">
        <v>3781</v>
      </c>
      <c r="Q1149" s="132" t="s">
        <v>3756</v>
      </c>
      <c r="R1149" s="132" t="s">
        <v>1108</v>
      </c>
    </row>
    <row r="1150" spans="1:18" x14ac:dyDescent="0.2">
      <c r="A1150" t="s">
        <v>189</v>
      </c>
      <c r="B1150" s="141">
        <f t="shared" si="18"/>
        <v>7.55</v>
      </c>
      <c r="C1150" s="280">
        <v>45769</v>
      </c>
      <c r="D1150" s="279">
        <v>45772</v>
      </c>
      <c r="E1150" s="279">
        <v>45772</v>
      </c>
      <c r="F1150" s="132"/>
      <c r="G1150" s="132" t="s">
        <v>1481</v>
      </c>
      <c r="H1150" s="132" t="s">
        <v>373</v>
      </c>
      <c r="I1150" s="132" t="s">
        <v>1100</v>
      </c>
      <c r="J1150" s="132" t="s">
        <v>1949</v>
      </c>
      <c r="K1150" s="132" t="s">
        <v>1950</v>
      </c>
      <c r="L1150" s="132" t="s">
        <v>1951</v>
      </c>
      <c r="M1150" s="132" t="s">
        <v>3782</v>
      </c>
      <c r="N1150" s="132" t="s">
        <v>1105</v>
      </c>
      <c r="O1150" s="132" t="s">
        <v>3391</v>
      </c>
      <c r="P1150" s="132" t="s">
        <v>3783</v>
      </c>
      <c r="Q1150" s="132" t="s">
        <v>3756</v>
      </c>
      <c r="R1150" s="132" t="s">
        <v>1108</v>
      </c>
    </row>
    <row r="1151" spans="1:18" x14ac:dyDescent="0.2">
      <c r="A1151" t="s">
        <v>189</v>
      </c>
      <c r="B1151" s="141">
        <f t="shared" si="18"/>
        <v>7.5</v>
      </c>
      <c r="C1151" s="280">
        <v>45769</v>
      </c>
      <c r="D1151" s="279">
        <v>45772</v>
      </c>
      <c r="E1151" s="279">
        <v>45772</v>
      </c>
      <c r="F1151" s="132"/>
      <c r="G1151" s="132" t="s">
        <v>1108</v>
      </c>
      <c r="H1151" s="132" t="s">
        <v>373</v>
      </c>
      <c r="I1151" s="132" t="s">
        <v>1100</v>
      </c>
      <c r="J1151" s="132" t="s">
        <v>1949</v>
      </c>
      <c r="K1151" s="132" t="s">
        <v>2170</v>
      </c>
      <c r="L1151" s="132" t="s">
        <v>3057</v>
      </c>
      <c r="M1151" s="132" t="s">
        <v>3784</v>
      </c>
      <c r="N1151" s="132" t="s">
        <v>1112</v>
      </c>
      <c r="O1151" s="132" t="s">
        <v>3391</v>
      </c>
      <c r="P1151" s="132" t="s">
        <v>3785</v>
      </c>
      <c r="Q1151" s="132" t="s">
        <v>3756</v>
      </c>
      <c r="R1151" s="132" t="s">
        <v>1108</v>
      </c>
    </row>
    <row r="1152" spans="1:18" x14ac:dyDescent="0.2">
      <c r="A1152" t="s">
        <v>189</v>
      </c>
      <c r="B1152" s="141">
        <f t="shared" si="18"/>
        <v>7.5</v>
      </c>
      <c r="C1152" s="280">
        <v>45769</v>
      </c>
      <c r="D1152" s="279">
        <v>45772</v>
      </c>
      <c r="E1152" s="279">
        <v>45772</v>
      </c>
      <c r="F1152" s="132"/>
      <c r="G1152" s="132" t="s">
        <v>1108</v>
      </c>
      <c r="H1152" s="132" t="s">
        <v>373</v>
      </c>
      <c r="I1152" s="132" t="s">
        <v>1100</v>
      </c>
      <c r="J1152" s="132" t="s">
        <v>1949</v>
      </c>
      <c r="K1152" s="132" t="s">
        <v>2170</v>
      </c>
      <c r="L1152" s="132" t="s">
        <v>3057</v>
      </c>
      <c r="M1152" s="132" t="s">
        <v>3786</v>
      </c>
      <c r="N1152" s="132" t="s">
        <v>1112</v>
      </c>
      <c r="O1152" s="132" t="s">
        <v>3391</v>
      </c>
      <c r="P1152" s="132" t="s">
        <v>3787</v>
      </c>
      <c r="Q1152" s="132" t="s">
        <v>3756</v>
      </c>
      <c r="R1152" s="132" t="s">
        <v>1108</v>
      </c>
    </row>
    <row r="1153" spans="1:18" x14ac:dyDescent="0.2">
      <c r="A1153" t="s">
        <v>189</v>
      </c>
      <c r="B1153" s="141">
        <f t="shared" si="18"/>
        <v>7.55</v>
      </c>
      <c r="C1153" s="280">
        <v>45769</v>
      </c>
      <c r="D1153" s="279">
        <v>45772</v>
      </c>
      <c r="E1153" s="279">
        <v>45772</v>
      </c>
      <c r="F1153" s="132"/>
      <c r="G1153" s="132" t="s">
        <v>796</v>
      </c>
      <c r="H1153" s="132" t="s">
        <v>373</v>
      </c>
      <c r="I1153" s="132" t="s">
        <v>1100</v>
      </c>
      <c r="J1153" s="132" t="s">
        <v>1949</v>
      </c>
      <c r="K1153" s="132" t="s">
        <v>1950</v>
      </c>
      <c r="L1153" s="132" t="s">
        <v>1951</v>
      </c>
      <c r="M1153" s="132" t="s">
        <v>3788</v>
      </c>
      <c r="N1153" s="132" t="s">
        <v>1105</v>
      </c>
      <c r="O1153" s="132" t="s">
        <v>3391</v>
      </c>
      <c r="P1153" s="132" t="s">
        <v>3789</v>
      </c>
      <c r="Q1153" s="132" t="s">
        <v>3756</v>
      </c>
      <c r="R1153" s="132" t="s">
        <v>1108</v>
      </c>
    </row>
    <row r="1154" spans="1:18" x14ac:dyDescent="0.2">
      <c r="A1154" t="s">
        <v>189</v>
      </c>
      <c r="B1154" s="141">
        <f t="shared" si="18"/>
        <v>7.5</v>
      </c>
      <c r="C1154" s="280">
        <v>45769</v>
      </c>
      <c r="D1154" s="279">
        <v>45772</v>
      </c>
      <c r="E1154" s="279">
        <v>45772</v>
      </c>
      <c r="F1154" s="132"/>
      <c r="G1154" s="132" t="s">
        <v>1108</v>
      </c>
      <c r="H1154" s="132" t="s">
        <v>373</v>
      </c>
      <c r="I1154" s="132" t="s">
        <v>1100</v>
      </c>
      <c r="J1154" s="132" t="s">
        <v>1949</v>
      </c>
      <c r="K1154" s="132" t="s">
        <v>2170</v>
      </c>
      <c r="L1154" s="132" t="s">
        <v>3057</v>
      </c>
      <c r="M1154" s="132" t="s">
        <v>3790</v>
      </c>
      <c r="N1154" s="132" t="s">
        <v>1112</v>
      </c>
      <c r="O1154" s="132" t="s">
        <v>3391</v>
      </c>
      <c r="P1154" s="132" t="s">
        <v>3791</v>
      </c>
      <c r="Q1154" s="132" t="s">
        <v>3756</v>
      </c>
      <c r="R1154" s="132" t="s">
        <v>1108</v>
      </c>
    </row>
    <row r="1155" spans="1:18" x14ac:dyDescent="0.2">
      <c r="A1155" t="s">
        <v>189</v>
      </c>
      <c r="B1155" s="141">
        <f t="shared" si="18"/>
        <v>7.5</v>
      </c>
      <c r="C1155" s="280">
        <v>45769</v>
      </c>
      <c r="D1155" s="279">
        <v>45772</v>
      </c>
      <c r="E1155" s="279">
        <v>45772</v>
      </c>
      <c r="F1155" s="132"/>
      <c r="G1155" s="132" t="s">
        <v>1108</v>
      </c>
      <c r="H1155" s="132" t="s">
        <v>373</v>
      </c>
      <c r="I1155" s="132" t="s">
        <v>1100</v>
      </c>
      <c r="J1155" s="132" t="s">
        <v>1949</v>
      </c>
      <c r="K1155" s="132" t="s">
        <v>2170</v>
      </c>
      <c r="L1155" s="132" t="s">
        <v>3057</v>
      </c>
      <c r="M1155" s="132" t="s">
        <v>3792</v>
      </c>
      <c r="N1155" s="132" t="s">
        <v>1112</v>
      </c>
      <c r="O1155" s="132" t="s">
        <v>3391</v>
      </c>
      <c r="P1155" s="132" t="s">
        <v>3793</v>
      </c>
      <c r="Q1155" s="132" t="s">
        <v>3756</v>
      </c>
      <c r="R1155" s="132" t="s">
        <v>1108</v>
      </c>
    </row>
    <row r="1156" spans="1:18" x14ac:dyDescent="0.2">
      <c r="A1156" t="s">
        <v>189</v>
      </c>
      <c r="B1156" s="141">
        <f t="shared" si="18"/>
        <v>7.55</v>
      </c>
      <c r="C1156" s="280">
        <v>45769</v>
      </c>
      <c r="D1156" s="279">
        <v>45772</v>
      </c>
      <c r="E1156" s="279">
        <v>45772</v>
      </c>
      <c r="F1156" s="132"/>
      <c r="G1156" s="132" t="s">
        <v>1914</v>
      </c>
      <c r="H1156" s="132" t="s">
        <v>373</v>
      </c>
      <c r="I1156" s="132" t="s">
        <v>1100</v>
      </c>
      <c r="J1156" s="132" t="s">
        <v>1949</v>
      </c>
      <c r="K1156" s="132" t="s">
        <v>1950</v>
      </c>
      <c r="L1156" s="132" t="s">
        <v>1951</v>
      </c>
      <c r="M1156" s="132" t="s">
        <v>3794</v>
      </c>
      <c r="N1156" s="132" t="s">
        <v>1105</v>
      </c>
      <c r="O1156" s="132" t="s">
        <v>3391</v>
      </c>
      <c r="P1156" s="132" t="s">
        <v>3795</v>
      </c>
      <c r="Q1156" s="132" t="s">
        <v>3756</v>
      </c>
      <c r="R1156" s="132" t="s">
        <v>1108</v>
      </c>
    </row>
    <row r="1157" spans="1:18" x14ac:dyDescent="0.2">
      <c r="A1157" t="s">
        <v>189</v>
      </c>
      <c r="B1157" s="141">
        <f t="shared" si="18"/>
        <v>7.5</v>
      </c>
      <c r="C1157" s="280">
        <v>45769</v>
      </c>
      <c r="D1157" s="279">
        <v>45772</v>
      </c>
      <c r="E1157" s="279">
        <v>45772</v>
      </c>
      <c r="F1157" s="132"/>
      <c r="G1157" s="132" t="s">
        <v>1108</v>
      </c>
      <c r="H1157" s="132" t="s">
        <v>373</v>
      </c>
      <c r="I1157" s="132" t="s">
        <v>1100</v>
      </c>
      <c r="J1157" s="132" t="s">
        <v>1949</v>
      </c>
      <c r="K1157" s="132" t="s">
        <v>2170</v>
      </c>
      <c r="L1157" s="132" t="s">
        <v>3057</v>
      </c>
      <c r="M1157" s="132" t="s">
        <v>3796</v>
      </c>
      <c r="N1157" s="132" t="s">
        <v>1112</v>
      </c>
      <c r="O1157" s="132" t="s">
        <v>3391</v>
      </c>
      <c r="P1157" s="132" t="s">
        <v>3797</v>
      </c>
      <c r="Q1157" s="132" t="s">
        <v>3756</v>
      </c>
      <c r="R1157" s="132" t="s">
        <v>1108</v>
      </c>
    </row>
    <row r="1158" spans="1:18" x14ac:dyDescent="0.2">
      <c r="A1158" t="s">
        <v>189</v>
      </c>
      <c r="B1158" s="141">
        <f t="shared" si="18"/>
        <v>7.55</v>
      </c>
      <c r="C1158" s="280">
        <v>45769</v>
      </c>
      <c r="D1158" s="279">
        <v>45772</v>
      </c>
      <c r="E1158" s="279">
        <v>45772</v>
      </c>
      <c r="F1158" s="132"/>
      <c r="G1158" s="132" t="s">
        <v>2130</v>
      </c>
      <c r="H1158" s="132" t="s">
        <v>373</v>
      </c>
      <c r="I1158" s="132" t="s">
        <v>1100</v>
      </c>
      <c r="J1158" s="132" t="s">
        <v>1949</v>
      </c>
      <c r="K1158" s="132" t="s">
        <v>1950</v>
      </c>
      <c r="L1158" s="132" t="s">
        <v>1951</v>
      </c>
      <c r="M1158" s="132" t="s">
        <v>3798</v>
      </c>
      <c r="N1158" s="132" t="s">
        <v>1105</v>
      </c>
      <c r="O1158" s="132" t="s">
        <v>3391</v>
      </c>
      <c r="P1158" s="132" t="s">
        <v>3799</v>
      </c>
      <c r="Q1158" s="132" t="s">
        <v>3756</v>
      </c>
      <c r="R1158" s="132" t="s">
        <v>1108</v>
      </c>
    </row>
    <row r="1159" spans="1:18" x14ac:dyDescent="0.2">
      <c r="A1159" t="s">
        <v>189</v>
      </c>
      <c r="B1159" s="141">
        <f t="shared" si="18"/>
        <v>7.55</v>
      </c>
      <c r="C1159" s="280">
        <v>45769</v>
      </c>
      <c r="D1159" s="279">
        <v>45772</v>
      </c>
      <c r="E1159" s="279">
        <v>45772</v>
      </c>
      <c r="F1159" s="132"/>
      <c r="G1159" s="132" t="s">
        <v>1108</v>
      </c>
      <c r="H1159" s="132" t="s">
        <v>373</v>
      </c>
      <c r="I1159" s="132" t="s">
        <v>1100</v>
      </c>
      <c r="J1159" s="132" t="s">
        <v>1949</v>
      </c>
      <c r="K1159" s="132" t="s">
        <v>1950</v>
      </c>
      <c r="L1159" s="132" t="s">
        <v>1951</v>
      </c>
      <c r="M1159" s="132" t="s">
        <v>3800</v>
      </c>
      <c r="N1159" s="132" t="s">
        <v>1117</v>
      </c>
      <c r="O1159" s="132" t="s">
        <v>3391</v>
      </c>
      <c r="P1159" s="132" t="s">
        <v>3801</v>
      </c>
      <c r="Q1159" s="132" t="s">
        <v>3756</v>
      </c>
      <c r="R1159" s="132" t="s">
        <v>1108</v>
      </c>
    </row>
    <row r="1160" spans="1:18" x14ac:dyDescent="0.2">
      <c r="A1160" t="s">
        <v>189</v>
      </c>
      <c r="B1160" s="141">
        <f t="shared" si="18"/>
        <v>7.55</v>
      </c>
      <c r="C1160" s="280">
        <v>45769</v>
      </c>
      <c r="D1160" s="279">
        <v>45772</v>
      </c>
      <c r="E1160" s="279">
        <v>45772</v>
      </c>
      <c r="F1160" s="132"/>
      <c r="G1160" s="132" t="s">
        <v>1108</v>
      </c>
      <c r="H1160" s="132" t="s">
        <v>373</v>
      </c>
      <c r="I1160" s="132" t="s">
        <v>1100</v>
      </c>
      <c r="J1160" s="132" t="s">
        <v>1949</v>
      </c>
      <c r="K1160" s="132" t="s">
        <v>1950</v>
      </c>
      <c r="L1160" s="132" t="s">
        <v>1951</v>
      </c>
      <c r="M1160" s="132" t="s">
        <v>3802</v>
      </c>
      <c r="N1160" s="132" t="s">
        <v>1117</v>
      </c>
      <c r="O1160" s="132" t="s">
        <v>3391</v>
      </c>
      <c r="P1160" s="132" t="s">
        <v>3803</v>
      </c>
      <c r="Q1160" s="132" t="s">
        <v>3756</v>
      </c>
      <c r="R1160" s="132" t="s">
        <v>1108</v>
      </c>
    </row>
    <row r="1161" spans="1:18" x14ac:dyDescent="0.2">
      <c r="A1161" t="s">
        <v>189</v>
      </c>
      <c r="B1161" s="141">
        <f t="shared" si="18"/>
        <v>7.5</v>
      </c>
      <c r="C1161" s="280">
        <v>45770</v>
      </c>
      <c r="D1161" s="279">
        <v>45772</v>
      </c>
      <c r="E1161" s="279">
        <v>45772</v>
      </c>
      <c r="F1161" s="132"/>
      <c r="G1161" s="132" t="s">
        <v>1108</v>
      </c>
      <c r="H1161" s="132" t="s">
        <v>373</v>
      </c>
      <c r="I1161" s="132" t="s">
        <v>1100</v>
      </c>
      <c r="J1161" s="132" t="s">
        <v>1949</v>
      </c>
      <c r="K1161" s="132" t="s">
        <v>2170</v>
      </c>
      <c r="L1161" s="132" t="s">
        <v>3057</v>
      </c>
      <c r="M1161" s="132" t="s">
        <v>3804</v>
      </c>
      <c r="N1161" s="132" t="s">
        <v>1112</v>
      </c>
      <c r="O1161" s="132" t="s">
        <v>3391</v>
      </c>
      <c r="P1161" s="132" t="s">
        <v>3805</v>
      </c>
      <c r="Q1161" s="132" t="s">
        <v>3756</v>
      </c>
      <c r="R1161" s="132" t="s">
        <v>1108</v>
      </c>
    </row>
    <row r="1162" spans="1:18" x14ac:dyDescent="0.2">
      <c r="A1162" t="s">
        <v>189</v>
      </c>
      <c r="B1162" s="141">
        <f t="shared" si="18"/>
        <v>7.5</v>
      </c>
      <c r="C1162" s="280">
        <v>45770</v>
      </c>
      <c r="D1162" s="279">
        <v>45772</v>
      </c>
      <c r="E1162" s="279">
        <v>45772</v>
      </c>
      <c r="F1162" s="132"/>
      <c r="G1162" s="132" t="s">
        <v>1108</v>
      </c>
      <c r="H1162" s="132" t="s">
        <v>373</v>
      </c>
      <c r="I1162" s="132" t="s">
        <v>1100</v>
      </c>
      <c r="J1162" s="132" t="s">
        <v>1949</v>
      </c>
      <c r="K1162" s="132" t="s">
        <v>2170</v>
      </c>
      <c r="L1162" s="132" t="s">
        <v>3057</v>
      </c>
      <c r="M1162" s="132" t="s">
        <v>3806</v>
      </c>
      <c r="N1162" s="132" t="s">
        <v>1112</v>
      </c>
      <c r="O1162" s="132" t="s">
        <v>3391</v>
      </c>
      <c r="P1162" s="132" t="s">
        <v>3807</v>
      </c>
      <c r="Q1162" s="132" t="s">
        <v>3756</v>
      </c>
      <c r="R1162" s="132" t="s">
        <v>1108</v>
      </c>
    </row>
    <row r="1163" spans="1:18" x14ac:dyDescent="0.2">
      <c r="A1163" t="s">
        <v>189</v>
      </c>
      <c r="B1163" s="141">
        <f t="shared" si="18"/>
        <v>7.5</v>
      </c>
      <c r="C1163" s="280">
        <v>45770</v>
      </c>
      <c r="D1163" s="279">
        <v>45772</v>
      </c>
      <c r="E1163" s="279">
        <v>45772</v>
      </c>
      <c r="F1163" s="132"/>
      <c r="G1163" s="132" t="s">
        <v>1108</v>
      </c>
      <c r="H1163" s="132" t="s">
        <v>373</v>
      </c>
      <c r="I1163" s="132" t="s">
        <v>1100</v>
      </c>
      <c r="J1163" s="132" t="s">
        <v>1949</v>
      </c>
      <c r="K1163" s="132" t="s">
        <v>2170</v>
      </c>
      <c r="L1163" s="132" t="s">
        <v>3057</v>
      </c>
      <c r="M1163" s="132" t="s">
        <v>3808</v>
      </c>
      <c r="N1163" s="132" t="s">
        <v>1112</v>
      </c>
      <c r="O1163" s="132" t="s">
        <v>3391</v>
      </c>
      <c r="P1163" s="132" t="s">
        <v>3809</v>
      </c>
      <c r="Q1163" s="132" t="s">
        <v>3756</v>
      </c>
      <c r="R1163" s="132" t="s">
        <v>1108</v>
      </c>
    </row>
    <row r="1164" spans="1:18" x14ac:dyDescent="0.2">
      <c r="A1164" t="s">
        <v>189</v>
      </c>
      <c r="B1164" s="141">
        <f t="shared" si="18"/>
        <v>7.5</v>
      </c>
      <c r="C1164" s="280">
        <v>45770</v>
      </c>
      <c r="D1164" s="279">
        <v>45772</v>
      </c>
      <c r="E1164" s="279">
        <v>45772</v>
      </c>
      <c r="F1164" s="132"/>
      <c r="G1164" s="132" t="s">
        <v>1108</v>
      </c>
      <c r="H1164" s="132" t="s">
        <v>373</v>
      </c>
      <c r="I1164" s="132" t="s">
        <v>1100</v>
      </c>
      <c r="J1164" s="132" t="s">
        <v>1949</v>
      </c>
      <c r="K1164" s="132" t="s">
        <v>2170</v>
      </c>
      <c r="L1164" s="132" t="s">
        <v>3057</v>
      </c>
      <c r="M1164" s="132" t="s">
        <v>3810</v>
      </c>
      <c r="N1164" s="132" t="s">
        <v>1112</v>
      </c>
      <c r="O1164" s="132" t="s">
        <v>3391</v>
      </c>
      <c r="P1164" s="132" t="s">
        <v>3811</v>
      </c>
      <c r="Q1164" s="132" t="s">
        <v>3756</v>
      </c>
      <c r="R1164" s="132" t="s">
        <v>1108</v>
      </c>
    </row>
    <row r="1165" spans="1:18" x14ac:dyDescent="0.2">
      <c r="A1165" t="s">
        <v>189</v>
      </c>
      <c r="B1165" s="141">
        <f t="shared" si="18"/>
        <v>7.5</v>
      </c>
      <c r="C1165" s="280">
        <v>45770</v>
      </c>
      <c r="D1165" s="279">
        <v>45772</v>
      </c>
      <c r="E1165" s="279">
        <v>45772</v>
      </c>
      <c r="F1165" s="132"/>
      <c r="G1165" s="132" t="s">
        <v>1108</v>
      </c>
      <c r="H1165" s="132" t="s">
        <v>373</v>
      </c>
      <c r="I1165" s="132" t="s">
        <v>1100</v>
      </c>
      <c r="J1165" s="132" t="s">
        <v>1949</v>
      </c>
      <c r="K1165" s="132" t="s">
        <v>2170</v>
      </c>
      <c r="L1165" s="132" t="s">
        <v>3057</v>
      </c>
      <c r="M1165" s="132" t="s">
        <v>3812</v>
      </c>
      <c r="N1165" s="132" t="s">
        <v>1112</v>
      </c>
      <c r="O1165" s="132" t="s">
        <v>3391</v>
      </c>
      <c r="P1165" s="132" t="s">
        <v>3813</v>
      </c>
      <c r="Q1165" s="132" t="s">
        <v>3756</v>
      </c>
      <c r="R1165" s="132" t="s">
        <v>1108</v>
      </c>
    </row>
    <row r="1166" spans="1:18" x14ac:dyDescent="0.2">
      <c r="A1166" t="s">
        <v>189</v>
      </c>
      <c r="B1166" s="141">
        <f t="shared" si="18"/>
        <v>7.55</v>
      </c>
      <c r="C1166" s="280">
        <v>45770</v>
      </c>
      <c r="D1166" s="279">
        <v>45775</v>
      </c>
      <c r="E1166" s="279">
        <v>45775</v>
      </c>
      <c r="F1166" s="132"/>
      <c r="G1166" s="132" t="s">
        <v>1108</v>
      </c>
      <c r="H1166" s="132" t="s">
        <v>373</v>
      </c>
      <c r="I1166" s="132" t="s">
        <v>1100</v>
      </c>
      <c r="J1166" s="132" t="s">
        <v>1949</v>
      </c>
      <c r="K1166" s="132" t="s">
        <v>1950</v>
      </c>
      <c r="L1166" s="132" t="s">
        <v>1951</v>
      </c>
      <c r="M1166" s="132" t="s">
        <v>3814</v>
      </c>
      <c r="N1166" s="132" t="s">
        <v>1117</v>
      </c>
      <c r="O1166" s="132" t="s">
        <v>3391</v>
      </c>
      <c r="P1166" s="132" t="s">
        <v>3815</v>
      </c>
      <c r="Q1166" s="132" t="s">
        <v>3816</v>
      </c>
      <c r="R1166" s="132" t="s">
        <v>1108</v>
      </c>
    </row>
    <row r="1167" spans="1:18" x14ac:dyDescent="0.2">
      <c r="A1167" t="s">
        <v>189</v>
      </c>
      <c r="B1167" s="141">
        <f t="shared" si="18"/>
        <v>7.55</v>
      </c>
      <c r="C1167" s="280">
        <v>45770</v>
      </c>
      <c r="D1167" s="279">
        <v>45775</v>
      </c>
      <c r="E1167" s="279">
        <v>45775</v>
      </c>
      <c r="F1167" s="132"/>
      <c r="G1167" s="132" t="s">
        <v>470</v>
      </c>
      <c r="H1167" s="132" t="s">
        <v>373</v>
      </c>
      <c r="I1167" s="132" t="s">
        <v>1100</v>
      </c>
      <c r="J1167" s="132" t="s">
        <v>1949</v>
      </c>
      <c r="K1167" s="132" t="s">
        <v>1950</v>
      </c>
      <c r="L1167" s="132" t="s">
        <v>1951</v>
      </c>
      <c r="M1167" s="132" t="s">
        <v>3817</v>
      </c>
      <c r="N1167" s="132" t="s">
        <v>1105</v>
      </c>
      <c r="O1167" s="132" t="s">
        <v>3391</v>
      </c>
      <c r="P1167" s="132" t="s">
        <v>3818</v>
      </c>
      <c r="Q1167" s="132" t="s">
        <v>3816</v>
      </c>
      <c r="R1167" s="132" t="s">
        <v>1108</v>
      </c>
    </row>
    <row r="1168" spans="1:18" x14ac:dyDescent="0.2">
      <c r="A1168" t="s">
        <v>189</v>
      </c>
      <c r="B1168" s="141">
        <f t="shared" si="18"/>
        <v>7.55</v>
      </c>
      <c r="C1168" s="280">
        <v>45770</v>
      </c>
      <c r="D1168" s="279">
        <v>45775</v>
      </c>
      <c r="E1168" s="279">
        <v>45775</v>
      </c>
      <c r="F1168" s="132"/>
      <c r="G1168" s="132" t="s">
        <v>1108</v>
      </c>
      <c r="H1168" s="132" t="s">
        <v>373</v>
      </c>
      <c r="I1168" s="132" t="s">
        <v>1100</v>
      </c>
      <c r="J1168" s="132" t="s">
        <v>1949</v>
      </c>
      <c r="K1168" s="132" t="s">
        <v>1950</v>
      </c>
      <c r="L1168" s="132" t="s">
        <v>1951</v>
      </c>
      <c r="M1168" s="132" t="s">
        <v>3819</v>
      </c>
      <c r="N1168" s="132" t="s">
        <v>1117</v>
      </c>
      <c r="O1168" s="132" t="s">
        <v>3391</v>
      </c>
      <c r="P1168" s="132" t="s">
        <v>3820</v>
      </c>
      <c r="Q1168" s="132" t="s">
        <v>3816</v>
      </c>
      <c r="R1168" s="132" t="s">
        <v>1108</v>
      </c>
    </row>
    <row r="1169" spans="1:18" x14ac:dyDescent="0.2">
      <c r="A1169" t="s">
        <v>189</v>
      </c>
      <c r="B1169" s="141">
        <f t="shared" si="18"/>
        <v>7.5</v>
      </c>
      <c r="C1169" s="280">
        <v>45770</v>
      </c>
      <c r="D1169" s="279">
        <v>45775</v>
      </c>
      <c r="E1169" s="279">
        <v>45775</v>
      </c>
      <c r="F1169" s="132"/>
      <c r="G1169" s="132" t="s">
        <v>1108</v>
      </c>
      <c r="H1169" s="132" t="s">
        <v>373</v>
      </c>
      <c r="I1169" s="132" t="s">
        <v>1100</v>
      </c>
      <c r="J1169" s="132" t="s">
        <v>1949</v>
      </c>
      <c r="K1169" s="132" t="s">
        <v>2170</v>
      </c>
      <c r="L1169" s="132" t="s">
        <v>3057</v>
      </c>
      <c r="M1169" s="132" t="s">
        <v>3821</v>
      </c>
      <c r="N1169" s="132" t="s">
        <v>1112</v>
      </c>
      <c r="O1169" s="132" t="s">
        <v>3391</v>
      </c>
      <c r="P1169" s="132" t="s">
        <v>3822</v>
      </c>
      <c r="Q1169" s="132" t="s">
        <v>3816</v>
      </c>
      <c r="R1169" s="132" t="s">
        <v>1108</v>
      </c>
    </row>
    <row r="1170" spans="1:18" x14ac:dyDescent="0.2">
      <c r="A1170" t="s">
        <v>189</v>
      </c>
      <c r="B1170" s="141">
        <f t="shared" si="18"/>
        <v>7.55</v>
      </c>
      <c r="C1170" s="280">
        <v>45770</v>
      </c>
      <c r="D1170" s="279">
        <v>45775</v>
      </c>
      <c r="E1170" s="279">
        <v>45775</v>
      </c>
      <c r="F1170" s="132"/>
      <c r="G1170" s="132" t="s">
        <v>1923</v>
      </c>
      <c r="H1170" s="132" t="s">
        <v>373</v>
      </c>
      <c r="I1170" s="132" t="s">
        <v>1100</v>
      </c>
      <c r="J1170" s="132" t="s">
        <v>1949</v>
      </c>
      <c r="K1170" s="132" t="s">
        <v>1950</v>
      </c>
      <c r="L1170" s="132" t="s">
        <v>1951</v>
      </c>
      <c r="M1170" s="132" t="s">
        <v>3823</v>
      </c>
      <c r="N1170" s="132" t="s">
        <v>1105</v>
      </c>
      <c r="O1170" s="132" t="s">
        <v>3391</v>
      </c>
      <c r="P1170" s="132" t="s">
        <v>3824</v>
      </c>
      <c r="Q1170" s="132" t="s">
        <v>3816</v>
      </c>
      <c r="R1170" s="132" t="s">
        <v>1108</v>
      </c>
    </row>
    <row r="1171" spans="1:18" x14ac:dyDescent="0.2">
      <c r="A1171" t="s">
        <v>189</v>
      </c>
      <c r="B1171" s="141">
        <f t="shared" si="18"/>
        <v>7.5</v>
      </c>
      <c r="C1171" s="280">
        <v>45770</v>
      </c>
      <c r="D1171" s="279">
        <v>45775</v>
      </c>
      <c r="E1171" s="279">
        <v>45775</v>
      </c>
      <c r="F1171" s="132"/>
      <c r="G1171" s="132" t="s">
        <v>1108</v>
      </c>
      <c r="H1171" s="132" t="s">
        <v>373</v>
      </c>
      <c r="I1171" s="132" t="s">
        <v>1100</v>
      </c>
      <c r="J1171" s="132" t="s">
        <v>1949</v>
      </c>
      <c r="K1171" s="132" t="s">
        <v>2170</v>
      </c>
      <c r="L1171" s="132" t="s">
        <v>3057</v>
      </c>
      <c r="M1171" s="281" t="s">
        <v>3825</v>
      </c>
      <c r="N1171" s="132" t="s">
        <v>1112</v>
      </c>
      <c r="O1171" s="132" t="s">
        <v>3391</v>
      </c>
      <c r="P1171" s="132" t="s">
        <v>3826</v>
      </c>
      <c r="Q1171" s="132" t="s">
        <v>3816</v>
      </c>
      <c r="R1171" s="132" t="s">
        <v>1108</v>
      </c>
    </row>
    <row r="1172" spans="1:18" x14ac:dyDescent="0.2">
      <c r="A1172" t="s">
        <v>234</v>
      </c>
      <c r="B1172" s="141">
        <f t="shared" si="18"/>
        <v>23.1</v>
      </c>
      <c r="C1172" s="280">
        <v>45771</v>
      </c>
      <c r="D1172" s="279">
        <v>45776</v>
      </c>
      <c r="E1172" s="279">
        <v>45776</v>
      </c>
      <c r="F1172" s="132"/>
      <c r="G1172" s="132" t="s">
        <v>1108</v>
      </c>
      <c r="H1172" s="132" t="s">
        <v>373</v>
      </c>
      <c r="I1172" s="132" t="s">
        <v>1100</v>
      </c>
      <c r="J1172" s="132" t="s">
        <v>3827</v>
      </c>
      <c r="K1172" s="132" t="s">
        <v>3828</v>
      </c>
      <c r="L1172" s="132" t="s">
        <v>3829</v>
      </c>
      <c r="M1172" s="132" t="s">
        <v>3830</v>
      </c>
      <c r="N1172" s="132" t="s">
        <v>1112</v>
      </c>
      <c r="O1172" s="132" t="s">
        <v>3391</v>
      </c>
      <c r="P1172" s="132" t="s">
        <v>3831</v>
      </c>
      <c r="Q1172" s="132" t="s">
        <v>3832</v>
      </c>
      <c r="R1172" s="132" t="s">
        <v>1108</v>
      </c>
    </row>
    <row r="1173" spans="1:18" x14ac:dyDescent="0.2">
      <c r="A1173" t="s">
        <v>234</v>
      </c>
      <c r="B1173" s="141">
        <f t="shared" si="18"/>
        <v>23.240000000000002</v>
      </c>
      <c r="C1173" s="280">
        <v>45771</v>
      </c>
      <c r="D1173" s="279">
        <v>45776</v>
      </c>
      <c r="E1173" s="279">
        <v>45776</v>
      </c>
      <c r="F1173" s="132"/>
      <c r="G1173" s="132" t="s">
        <v>3833</v>
      </c>
      <c r="H1173" s="132" t="s">
        <v>373</v>
      </c>
      <c r="I1173" s="132" t="s">
        <v>1100</v>
      </c>
      <c r="J1173" s="132" t="s">
        <v>3827</v>
      </c>
      <c r="K1173" s="132" t="s">
        <v>3834</v>
      </c>
      <c r="L1173" s="132" t="s">
        <v>3835</v>
      </c>
      <c r="M1173" s="132" t="s">
        <v>3836</v>
      </c>
      <c r="N1173" s="132" t="s">
        <v>1105</v>
      </c>
      <c r="O1173" s="132" t="s">
        <v>3391</v>
      </c>
      <c r="P1173" s="132" t="s">
        <v>3837</v>
      </c>
      <c r="Q1173" s="132" t="s">
        <v>3832</v>
      </c>
      <c r="R1173" s="132" t="s">
        <v>1108</v>
      </c>
    </row>
    <row r="1174" spans="1:18" x14ac:dyDescent="0.2">
      <c r="A1174" t="s">
        <v>234</v>
      </c>
      <c r="B1174" s="141">
        <f t="shared" si="18"/>
        <v>23.240000000000002</v>
      </c>
      <c r="C1174" s="280">
        <v>45771</v>
      </c>
      <c r="D1174" s="279">
        <v>45776</v>
      </c>
      <c r="E1174" s="279">
        <v>45776</v>
      </c>
      <c r="F1174" s="132"/>
      <c r="G1174" s="132" t="s">
        <v>3838</v>
      </c>
      <c r="H1174" s="132" t="s">
        <v>373</v>
      </c>
      <c r="I1174" s="132" t="s">
        <v>1100</v>
      </c>
      <c r="J1174" s="132" t="s">
        <v>3827</v>
      </c>
      <c r="K1174" s="132" t="s">
        <v>3834</v>
      </c>
      <c r="L1174" s="132" t="s">
        <v>3835</v>
      </c>
      <c r="M1174" s="132" t="s">
        <v>3839</v>
      </c>
      <c r="N1174" s="132" t="s">
        <v>1105</v>
      </c>
      <c r="O1174" s="132" t="s">
        <v>3391</v>
      </c>
      <c r="P1174" s="132" t="s">
        <v>3840</v>
      </c>
      <c r="Q1174" s="132" t="s">
        <v>3832</v>
      </c>
      <c r="R1174" s="132" t="s">
        <v>1108</v>
      </c>
    </row>
    <row r="1175" spans="1:18" x14ac:dyDescent="0.2">
      <c r="A1175" t="s">
        <v>234</v>
      </c>
      <c r="B1175" s="141">
        <f t="shared" si="18"/>
        <v>23.240000000000002</v>
      </c>
      <c r="C1175" s="280">
        <v>45771</v>
      </c>
      <c r="D1175" s="279">
        <v>45776</v>
      </c>
      <c r="E1175" s="279">
        <v>45776</v>
      </c>
      <c r="F1175" s="132"/>
      <c r="G1175" s="132" t="s">
        <v>1059</v>
      </c>
      <c r="H1175" s="132" t="s">
        <v>373</v>
      </c>
      <c r="I1175" s="132" t="s">
        <v>1100</v>
      </c>
      <c r="J1175" s="132" t="s">
        <v>3827</v>
      </c>
      <c r="K1175" s="132" t="s">
        <v>3834</v>
      </c>
      <c r="L1175" s="132" t="s">
        <v>3835</v>
      </c>
      <c r="M1175" s="281" t="s">
        <v>3841</v>
      </c>
      <c r="N1175" s="132" t="s">
        <v>1105</v>
      </c>
      <c r="O1175" s="132" t="s">
        <v>3391</v>
      </c>
      <c r="P1175" s="132" t="s">
        <v>3842</v>
      </c>
      <c r="Q1175" s="132" t="s">
        <v>3832</v>
      </c>
      <c r="R1175" s="132" t="s">
        <v>1108</v>
      </c>
    </row>
    <row r="1176" spans="1:18" x14ac:dyDescent="0.2">
      <c r="A1176" t="s">
        <v>234</v>
      </c>
      <c r="B1176" s="141">
        <f t="shared" si="18"/>
        <v>23.1</v>
      </c>
      <c r="C1176" s="280">
        <v>45771</v>
      </c>
      <c r="D1176" s="279">
        <v>45776</v>
      </c>
      <c r="E1176" s="279">
        <v>45776</v>
      </c>
      <c r="F1176" s="132"/>
      <c r="G1176" s="132" t="s">
        <v>1108</v>
      </c>
      <c r="H1176" s="132" t="s">
        <v>373</v>
      </c>
      <c r="I1176" s="132" t="s">
        <v>1100</v>
      </c>
      <c r="J1176" s="132" t="s">
        <v>3827</v>
      </c>
      <c r="K1176" s="132" t="s">
        <v>3828</v>
      </c>
      <c r="L1176" s="132" t="s">
        <v>3829</v>
      </c>
      <c r="M1176" s="132" t="s">
        <v>3843</v>
      </c>
      <c r="N1176" s="132" t="s">
        <v>1112</v>
      </c>
      <c r="O1176" s="132" t="s">
        <v>3391</v>
      </c>
      <c r="P1176" s="132" t="s">
        <v>3844</v>
      </c>
      <c r="Q1176" s="132" t="s">
        <v>3832</v>
      </c>
      <c r="R1176" s="132" t="s">
        <v>1108</v>
      </c>
    </row>
    <row r="1177" spans="1:18" x14ac:dyDescent="0.2">
      <c r="A1177" t="s">
        <v>234</v>
      </c>
      <c r="B1177" s="141">
        <f t="shared" si="18"/>
        <v>23.240000000000002</v>
      </c>
      <c r="C1177" s="280">
        <v>45771</v>
      </c>
      <c r="D1177" s="279">
        <v>45776</v>
      </c>
      <c r="E1177" s="279">
        <v>45776</v>
      </c>
      <c r="F1177" s="132"/>
      <c r="G1177" s="132" t="s">
        <v>1108</v>
      </c>
      <c r="H1177" s="132" t="s">
        <v>373</v>
      </c>
      <c r="I1177" s="132" t="s">
        <v>1100</v>
      </c>
      <c r="J1177" s="132" t="s">
        <v>3827</v>
      </c>
      <c r="K1177" s="132" t="s">
        <v>3834</v>
      </c>
      <c r="L1177" s="132" t="s">
        <v>3835</v>
      </c>
      <c r="M1177" s="132" t="s">
        <v>3845</v>
      </c>
      <c r="N1177" s="132" t="s">
        <v>1117</v>
      </c>
      <c r="O1177" s="132" t="s">
        <v>3391</v>
      </c>
      <c r="P1177" s="132" t="s">
        <v>3846</v>
      </c>
      <c r="Q1177" s="132" t="s">
        <v>3832</v>
      </c>
      <c r="R1177" s="132" t="s">
        <v>1108</v>
      </c>
    </row>
    <row r="1178" spans="1:18" x14ac:dyDescent="0.2">
      <c r="A1178" t="s">
        <v>234</v>
      </c>
      <c r="B1178" s="141">
        <f t="shared" si="18"/>
        <v>23.1</v>
      </c>
      <c r="C1178" s="280">
        <v>45771</v>
      </c>
      <c r="D1178" s="279">
        <v>45776</v>
      </c>
      <c r="E1178" s="279">
        <v>45776</v>
      </c>
      <c r="F1178" s="132"/>
      <c r="G1178" s="132" t="s">
        <v>1108</v>
      </c>
      <c r="H1178" s="132" t="s">
        <v>373</v>
      </c>
      <c r="I1178" s="132" t="s">
        <v>1100</v>
      </c>
      <c r="J1178" s="132" t="s">
        <v>3827</v>
      </c>
      <c r="K1178" s="132" t="s">
        <v>3828</v>
      </c>
      <c r="L1178" s="132" t="s">
        <v>3829</v>
      </c>
      <c r="M1178" s="132" t="s">
        <v>3847</v>
      </c>
      <c r="N1178" s="132" t="s">
        <v>1112</v>
      </c>
      <c r="O1178" s="132" t="s">
        <v>3391</v>
      </c>
      <c r="P1178" s="132" t="s">
        <v>3848</v>
      </c>
      <c r="Q1178" s="132" t="s">
        <v>3832</v>
      </c>
      <c r="R1178" s="132" t="s">
        <v>1108</v>
      </c>
    </row>
    <row r="1179" spans="1:18" x14ac:dyDescent="0.2">
      <c r="A1179" t="s">
        <v>235</v>
      </c>
      <c r="B1179" s="141">
        <f t="shared" si="18"/>
        <v>27.17</v>
      </c>
      <c r="C1179" s="280">
        <v>45771</v>
      </c>
      <c r="D1179" s="279">
        <v>45776</v>
      </c>
      <c r="E1179" s="279">
        <v>45776</v>
      </c>
      <c r="F1179" s="132"/>
      <c r="G1179" s="132" t="s">
        <v>1108</v>
      </c>
      <c r="H1179" s="132" t="s">
        <v>373</v>
      </c>
      <c r="I1179" s="132" t="s">
        <v>1100</v>
      </c>
      <c r="J1179" s="132" t="s">
        <v>3849</v>
      </c>
      <c r="K1179" s="132" t="s">
        <v>3850</v>
      </c>
      <c r="L1179" s="132" t="s">
        <v>3851</v>
      </c>
      <c r="M1179" s="132" t="s">
        <v>3852</v>
      </c>
      <c r="N1179" s="132" t="s">
        <v>1117</v>
      </c>
      <c r="O1179" s="132" t="s">
        <v>3391</v>
      </c>
      <c r="P1179" s="132" t="s">
        <v>3853</v>
      </c>
      <c r="Q1179" s="132" t="s">
        <v>3832</v>
      </c>
      <c r="R1179" s="132" t="s">
        <v>1108</v>
      </c>
    </row>
    <row r="1180" spans="1:18" x14ac:dyDescent="0.2">
      <c r="A1180" t="s">
        <v>234</v>
      </c>
      <c r="B1180" s="141">
        <f t="shared" si="18"/>
        <v>23.1</v>
      </c>
      <c r="C1180" s="280">
        <v>45771</v>
      </c>
      <c r="D1180" s="279">
        <v>45776</v>
      </c>
      <c r="E1180" s="279">
        <v>45776</v>
      </c>
      <c r="F1180" s="132"/>
      <c r="G1180" s="132" t="s">
        <v>1108</v>
      </c>
      <c r="H1180" s="132" t="s">
        <v>373</v>
      </c>
      <c r="I1180" s="132" t="s">
        <v>1100</v>
      </c>
      <c r="J1180" s="132" t="s">
        <v>3827</v>
      </c>
      <c r="K1180" s="132" t="s">
        <v>3828</v>
      </c>
      <c r="L1180" s="132" t="s">
        <v>3829</v>
      </c>
      <c r="M1180" s="132" t="s">
        <v>3854</v>
      </c>
      <c r="N1180" s="132" t="s">
        <v>1112</v>
      </c>
      <c r="O1180" s="132" t="s">
        <v>3391</v>
      </c>
      <c r="P1180" s="132" t="s">
        <v>3855</v>
      </c>
      <c r="Q1180" s="132" t="s">
        <v>3832</v>
      </c>
      <c r="R1180" s="132" t="s">
        <v>1108</v>
      </c>
    </row>
    <row r="1181" spans="1:18" x14ac:dyDescent="0.2">
      <c r="A1181" t="s">
        <v>234</v>
      </c>
      <c r="B1181" s="141">
        <f t="shared" si="18"/>
        <v>23.240000000000002</v>
      </c>
      <c r="C1181" s="280">
        <v>45771</v>
      </c>
      <c r="D1181" s="279">
        <v>45776</v>
      </c>
      <c r="E1181" s="279">
        <v>45776</v>
      </c>
      <c r="F1181" s="132"/>
      <c r="G1181" s="132" t="s">
        <v>1837</v>
      </c>
      <c r="H1181" s="132" t="s">
        <v>373</v>
      </c>
      <c r="I1181" s="132" t="s">
        <v>1100</v>
      </c>
      <c r="J1181" s="132" t="s">
        <v>3827</v>
      </c>
      <c r="K1181" s="132" t="s">
        <v>3834</v>
      </c>
      <c r="L1181" s="132" t="s">
        <v>3835</v>
      </c>
      <c r="M1181" s="132" t="s">
        <v>3856</v>
      </c>
      <c r="N1181" s="132" t="s">
        <v>1105</v>
      </c>
      <c r="O1181" s="132" t="s">
        <v>3391</v>
      </c>
      <c r="P1181" s="132" t="s">
        <v>3857</v>
      </c>
      <c r="Q1181" s="132" t="s">
        <v>3832</v>
      </c>
      <c r="R1181" s="132" t="s">
        <v>1108</v>
      </c>
    </row>
    <row r="1182" spans="1:18" x14ac:dyDescent="0.2">
      <c r="A1182" t="s">
        <v>234</v>
      </c>
      <c r="B1182" s="141">
        <f t="shared" si="18"/>
        <v>23.240000000000002</v>
      </c>
      <c r="C1182" s="280">
        <v>45771</v>
      </c>
      <c r="D1182" s="279">
        <v>45776</v>
      </c>
      <c r="E1182" s="279">
        <v>45776</v>
      </c>
      <c r="F1182" s="132"/>
      <c r="G1182" s="132" t="s">
        <v>1108</v>
      </c>
      <c r="H1182" s="132" t="s">
        <v>373</v>
      </c>
      <c r="I1182" s="132" t="s">
        <v>1100</v>
      </c>
      <c r="J1182" s="132" t="s">
        <v>3827</v>
      </c>
      <c r="K1182" s="132" t="s">
        <v>3834</v>
      </c>
      <c r="L1182" s="132" t="s">
        <v>3835</v>
      </c>
      <c r="M1182" s="132" t="s">
        <v>3858</v>
      </c>
      <c r="N1182" s="132" t="s">
        <v>1117</v>
      </c>
      <c r="O1182" s="132" t="s">
        <v>3391</v>
      </c>
      <c r="P1182" s="132" t="s">
        <v>3859</v>
      </c>
      <c r="Q1182" s="132" t="s">
        <v>3832</v>
      </c>
      <c r="R1182" s="132" t="s">
        <v>1108</v>
      </c>
    </row>
    <row r="1183" spans="1:18" x14ac:dyDescent="0.2">
      <c r="A1183" t="s">
        <v>234</v>
      </c>
      <c r="B1183" s="141">
        <f t="shared" si="18"/>
        <v>23.240000000000002</v>
      </c>
      <c r="C1183" s="280">
        <v>45771</v>
      </c>
      <c r="D1183" s="279">
        <v>45776</v>
      </c>
      <c r="E1183" s="279">
        <v>45776</v>
      </c>
      <c r="F1183" s="132"/>
      <c r="G1183" s="132" t="s">
        <v>1108</v>
      </c>
      <c r="H1183" s="132" t="s">
        <v>373</v>
      </c>
      <c r="I1183" s="132" t="s">
        <v>1100</v>
      </c>
      <c r="J1183" s="132" t="s">
        <v>3827</v>
      </c>
      <c r="K1183" s="132" t="s">
        <v>3834</v>
      </c>
      <c r="L1183" s="132" t="s">
        <v>3835</v>
      </c>
      <c r="M1183" s="132" t="s">
        <v>3860</v>
      </c>
      <c r="N1183" s="132" t="s">
        <v>1117</v>
      </c>
      <c r="O1183" s="132" t="s">
        <v>3391</v>
      </c>
      <c r="P1183" s="132" t="s">
        <v>3861</v>
      </c>
      <c r="Q1183" s="132" t="s">
        <v>3832</v>
      </c>
      <c r="R1183" s="132" t="s">
        <v>1108</v>
      </c>
    </row>
    <row r="1184" spans="1:18" x14ac:dyDescent="0.2">
      <c r="A1184" t="s">
        <v>234</v>
      </c>
      <c r="B1184" s="141">
        <f t="shared" si="18"/>
        <v>23.1</v>
      </c>
      <c r="C1184" s="280">
        <v>45771</v>
      </c>
      <c r="D1184" s="279">
        <v>45776</v>
      </c>
      <c r="E1184" s="279">
        <v>45776</v>
      </c>
      <c r="F1184" s="132"/>
      <c r="G1184" s="132" t="s">
        <v>1108</v>
      </c>
      <c r="H1184" s="132" t="s">
        <v>373</v>
      </c>
      <c r="I1184" s="132" t="s">
        <v>1100</v>
      </c>
      <c r="J1184" s="132" t="s">
        <v>3827</v>
      </c>
      <c r="K1184" s="132" t="s">
        <v>3828</v>
      </c>
      <c r="L1184" s="132" t="s">
        <v>3829</v>
      </c>
      <c r="M1184" s="132" t="s">
        <v>3862</v>
      </c>
      <c r="N1184" s="132" t="s">
        <v>1112</v>
      </c>
      <c r="O1184" s="132" t="s">
        <v>3391</v>
      </c>
      <c r="P1184" s="132" t="s">
        <v>3863</v>
      </c>
      <c r="Q1184" s="132" t="s">
        <v>3832</v>
      </c>
      <c r="R1184" s="132" t="s">
        <v>1108</v>
      </c>
    </row>
    <row r="1185" spans="1:18" x14ac:dyDescent="0.2">
      <c r="A1185" t="s">
        <v>234</v>
      </c>
      <c r="B1185" s="141">
        <f t="shared" si="18"/>
        <v>23.240000000000002</v>
      </c>
      <c r="C1185" s="280">
        <v>45771</v>
      </c>
      <c r="D1185" s="279">
        <v>45776</v>
      </c>
      <c r="E1185" s="279">
        <v>45776</v>
      </c>
      <c r="F1185" s="132"/>
      <c r="G1185" s="132" t="s">
        <v>1449</v>
      </c>
      <c r="H1185" s="132" t="s">
        <v>373</v>
      </c>
      <c r="I1185" s="132" t="s">
        <v>1100</v>
      </c>
      <c r="J1185" s="132" t="s">
        <v>3827</v>
      </c>
      <c r="K1185" s="132" t="s">
        <v>3834</v>
      </c>
      <c r="L1185" s="132" t="s">
        <v>3835</v>
      </c>
      <c r="M1185" s="132" t="s">
        <v>3864</v>
      </c>
      <c r="N1185" s="132" t="s">
        <v>1105</v>
      </c>
      <c r="O1185" s="132" t="s">
        <v>3391</v>
      </c>
      <c r="P1185" s="132" t="s">
        <v>3865</v>
      </c>
      <c r="Q1185" s="132" t="s">
        <v>3832</v>
      </c>
      <c r="R1185" s="132" t="s">
        <v>1108</v>
      </c>
    </row>
    <row r="1186" spans="1:18" x14ac:dyDescent="0.2">
      <c r="A1186" t="s">
        <v>234</v>
      </c>
      <c r="B1186" s="141">
        <f t="shared" si="18"/>
        <v>23.240000000000002</v>
      </c>
      <c r="C1186" s="280">
        <v>45771</v>
      </c>
      <c r="D1186" s="279">
        <v>45776</v>
      </c>
      <c r="E1186" s="279">
        <v>45776</v>
      </c>
      <c r="F1186" s="132"/>
      <c r="G1186" s="132" t="s">
        <v>1108</v>
      </c>
      <c r="H1186" s="132" t="s">
        <v>373</v>
      </c>
      <c r="I1186" s="132" t="s">
        <v>1100</v>
      </c>
      <c r="J1186" s="132" t="s">
        <v>3827</v>
      </c>
      <c r="K1186" s="132" t="s">
        <v>3834</v>
      </c>
      <c r="L1186" s="132" t="s">
        <v>3835</v>
      </c>
      <c r="M1186" s="132" t="s">
        <v>3866</v>
      </c>
      <c r="N1186" s="132" t="s">
        <v>1117</v>
      </c>
      <c r="O1186" s="132" t="s">
        <v>3391</v>
      </c>
      <c r="P1186" s="132" t="s">
        <v>3867</v>
      </c>
      <c r="Q1186" s="132" t="s">
        <v>3832</v>
      </c>
      <c r="R1186" s="132" t="s">
        <v>1108</v>
      </c>
    </row>
    <row r="1187" spans="1:18" x14ac:dyDescent="0.2">
      <c r="A1187" t="s">
        <v>234</v>
      </c>
      <c r="B1187" s="141">
        <f t="shared" si="18"/>
        <v>23.240000000000002</v>
      </c>
      <c r="C1187" s="280">
        <v>45771</v>
      </c>
      <c r="D1187" s="279">
        <v>45776</v>
      </c>
      <c r="E1187" s="279">
        <v>45776</v>
      </c>
      <c r="F1187" s="132"/>
      <c r="G1187" s="132" t="s">
        <v>1108</v>
      </c>
      <c r="H1187" s="132" t="s">
        <v>373</v>
      </c>
      <c r="I1187" s="132" t="s">
        <v>1100</v>
      </c>
      <c r="J1187" s="132" t="s">
        <v>3827</v>
      </c>
      <c r="K1187" s="132" t="s">
        <v>3834</v>
      </c>
      <c r="L1187" s="132" t="s">
        <v>3835</v>
      </c>
      <c r="M1187" s="132" t="s">
        <v>3868</v>
      </c>
      <c r="N1187" s="132" t="s">
        <v>1117</v>
      </c>
      <c r="O1187" s="132" t="s">
        <v>3391</v>
      </c>
      <c r="P1187" s="132" t="s">
        <v>3869</v>
      </c>
      <c r="Q1187" s="132" t="s">
        <v>3832</v>
      </c>
      <c r="R1187" s="132" t="s">
        <v>1108</v>
      </c>
    </row>
    <row r="1188" spans="1:18" x14ac:dyDescent="0.2">
      <c r="A1188" t="s">
        <v>235</v>
      </c>
      <c r="B1188" s="141">
        <f t="shared" si="18"/>
        <v>27.17</v>
      </c>
      <c r="C1188" s="280">
        <v>45771</v>
      </c>
      <c r="D1188" s="279">
        <v>45776</v>
      </c>
      <c r="E1188" s="279">
        <v>45776</v>
      </c>
      <c r="F1188" s="132"/>
      <c r="G1188" s="132" t="s">
        <v>1108</v>
      </c>
      <c r="H1188" s="132" t="s">
        <v>373</v>
      </c>
      <c r="I1188" s="132" t="s">
        <v>1100</v>
      </c>
      <c r="J1188" s="132" t="s">
        <v>3849</v>
      </c>
      <c r="K1188" s="132" t="s">
        <v>3850</v>
      </c>
      <c r="L1188" s="132" t="s">
        <v>3851</v>
      </c>
      <c r="M1188" s="132" t="s">
        <v>3870</v>
      </c>
      <c r="N1188" s="132" t="s">
        <v>1117</v>
      </c>
      <c r="O1188" s="132" t="s">
        <v>3391</v>
      </c>
      <c r="P1188" s="132" t="s">
        <v>3871</v>
      </c>
      <c r="Q1188" s="132" t="s">
        <v>3832</v>
      </c>
      <c r="R1188" s="132" t="s">
        <v>1108</v>
      </c>
    </row>
    <row r="1189" spans="1:18" x14ac:dyDescent="0.2">
      <c r="A1189" t="s">
        <v>234</v>
      </c>
      <c r="B1189" s="141">
        <f t="shared" si="18"/>
        <v>23.1</v>
      </c>
      <c r="C1189" s="280">
        <v>45771</v>
      </c>
      <c r="D1189" s="279">
        <v>45776</v>
      </c>
      <c r="E1189" s="279">
        <v>45776</v>
      </c>
      <c r="F1189" s="132"/>
      <c r="G1189" s="132" t="s">
        <v>1108</v>
      </c>
      <c r="H1189" s="132" t="s">
        <v>373</v>
      </c>
      <c r="I1189" s="132" t="s">
        <v>1100</v>
      </c>
      <c r="J1189" s="132" t="s">
        <v>3827</v>
      </c>
      <c r="K1189" s="132" t="s">
        <v>3828</v>
      </c>
      <c r="L1189" s="132" t="s">
        <v>3829</v>
      </c>
      <c r="M1189" s="132" t="s">
        <v>3872</v>
      </c>
      <c r="N1189" s="132" t="s">
        <v>1112</v>
      </c>
      <c r="O1189" s="132" t="s">
        <v>3391</v>
      </c>
      <c r="P1189" s="132" t="s">
        <v>3873</v>
      </c>
      <c r="Q1189" s="132" t="s">
        <v>3832</v>
      </c>
      <c r="R1189" s="132" t="s">
        <v>1108</v>
      </c>
    </row>
    <row r="1190" spans="1:18" x14ac:dyDescent="0.2">
      <c r="A1190" t="s">
        <v>234</v>
      </c>
      <c r="B1190" s="141">
        <f t="shared" si="18"/>
        <v>23.240000000000002</v>
      </c>
      <c r="C1190" s="280">
        <v>45771</v>
      </c>
      <c r="D1190" s="279">
        <v>45776</v>
      </c>
      <c r="E1190" s="279">
        <v>45776</v>
      </c>
      <c r="F1190" s="132"/>
      <c r="G1190" s="132" t="s">
        <v>1914</v>
      </c>
      <c r="H1190" s="132" t="s">
        <v>373</v>
      </c>
      <c r="I1190" s="132" t="s">
        <v>1100</v>
      </c>
      <c r="J1190" s="132" t="s">
        <v>3827</v>
      </c>
      <c r="K1190" s="132" t="s">
        <v>3834</v>
      </c>
      <c r="L1190" s="132" t="s">
        <v>3835</v>
      </c>
      <c r="M1190" s="132" t="s">
        <v>3874</v>
      </c>
      <c r="N1190" s="132" t="s">
        <v>1105</v>
      </c>
      <c r="O1190" s="132" t="s">
        <v>3391</v>
      </c>
      <c r="P1190" s="132" t="s">
        <v>3875</v>
      </c>
      <c r="Q1190" s="132" t="s">
        <v>3832</v>
      </c>
      <c r="R1190" s="132" t="s">
        <v>1108</v>
      </c>
    </row>
    <row r="1191" spans="1:18" x14ac:dyDescent="0.2">
      <c r="A1191" t="s">
        <v>234</v>
      </c>
      <c r="B1191" s="141">
        <f t="shared" si="18"/>
        <v>23.240000000000002</v>
      </c>
      <c r="C1191" s="280">
        <v>45771</v>
      </c>
      <c r="D1191" s="279">
        <v>45776</v>
      </c>
      <c r="E1191" s="279">
        <v>45776</v>
      </c>
      <c r="F1191" s="132"/>
      <c r="G1191" s="132" t="s">
        <v>1108</v>
      </c>
      <c r="H1191" s="132" t="s">
        <v>373</v>
      </c>
      <c r="I1191" s="132" t="s">
        <v>1100</v>
      </c>
      <c r="J1191" s="132" t="s">
        <v>3827</v>
      </c>
      <c r="K1191" s="132" t="s">
        <v>3834</v>
      </c>
      <c r="L1191" s="132" t="s">
        <v>3835</v>
      </c>
      <c r="M1191" s="132" t="s">
        <v>3876</v>
      </c>
      <c r="N1191" s="132" t="s">
        <v>1117</v>
      </c>
      <c r="O1191" s="132" t="s">
        <v>3391</v>
      </c>
      <c r="P1191" s="132" t="s">
        <v>3877</v>
      </c>
      <c r="Q1191" s="132" t="s">
        <v>3832</v>
      </c>
      <c r="R1191" s="132" t="s">
        <v>1108</v>
      </c>
    </row>
    <row r="1192" spans="1:18" x14ac:dyDescent="0.2">
      <c r="A1192" t="s">
        <v>234</v>
      </c>
      <c r="B1192" s="141">
        <f t="shared" si="18"/>
        <v>23.240000000000002</v>
      </c>
      <c r="C1192" s="280">
        <v>45771</v>
      </c>
      <c r="D1192" s="279">
        <v>45776</v>
      </c>
      <c r="E1192" s="279">
        <v>45776</v>
      </c>
      <c r="F1192" s="132"/>
      <c r="G1192" s="132" t="s">
        <v>1108</v>
      </c>
      <c r="H1192" s="132" t="s">
        <v>373</v>
      </c>
      <c r="I1192" s="132" t="s">
        <v>1100</v>
      </c>
      <c r="J1192" s="132" t="s">
        <v>3827</v>
      </c>
      <c r="K1192" s="132" t="s">
        <v>3834</v>
      </c>
      <c r="L1192" s="132" t="s">
        <v>3835</v>
      </c>
      <c r="M1192" s="132" t="s">
        <v>3878</v>
      </c>
      <c r="N1192" s="132" t="s">
        <v>1117</v>
      </c>
      <c r="O1192" s="132" t="s">
        <v>3391</v>
      </c>
      <c r="P1192" s="132" t="s">
        <v>3879</v>
      </c>
      <c r="Q1192" s="132" t="s">
        <v>3832</v>
      </c>
      <c r="R1192" s="132" t="s">
        <v>1108</v>
      </c>
    </row>
    <row r="1193" spans="1:18" x14ac:dyDescent="0.2">
      <c r="A1193" t="s">
        <v>234</v>
      </c>
      <c r="B1193" s="141">
        <f t="shared" si="18"/>
        <v>23.240000000000002</v>
      </c>
      <c r="C1193" s="280">
        <v>45771</v>
      </c>
      <c r="D1193" s="279">
        <v>45776</v>
      </c>
      <c r="E1193" s="279">
        <v>45776</v>
      </c>
      <c r="F1193" s="132"/>
      <c r="G1193" s="132" t="s">
        <v>1108</v>
      </c>
      <c r="H1193" s="132" t="s">
        <v>373</v>
      </c>
      <c r="I1193" s="132" t="s">
        <v>1100</v>
      </c>
      <c r="J1193" s="132" t="s">
        <v>3827</v>
      </c>
      <c r="K1193" s="132" t="s">
        <v>3834</v>
      </c>
      <c r="L1193" s="132" t="s">
        <v>3835</v>
      </c>
      <c r="M1193" s="132" t="s">
        <v>3880</v>
      </c>
      <c r="N1193" s="132" t="s">
        <v>1117</v>
      </c>
      <c r="O1193" s="132" t="s">
        <v>3391</v>
      </c>
      <c r="P1193" s="132" t="s">
        <v>3881</v>
      </c>
      <c r="Q1193" s="132" t="s">
        <v>3832</v>
      </c>
      <c r="R1193" s="132" t="s">
        <v>1108</v>
      </c>
    </row>
    <row r="1194" spans="1:18" x14ac:dyDescent="0.2">
      <c r="A1194" t="s">
        <v>235</v>
      </c>
      <c r="B1194" s="141">
        <f t="shared" si="18"/>
        <v>50.4</v>
      </c>
      <c r="C1194" s="280">
        <v>45771</v>
      </c>
      <c r="D1194" s="279">
        <v>45776</v>
      </c>
      <c r="E1194" s="279">
        <v>45776</v>
      </c>
      <c r="F1194" s="132"/>
      <c r="G1194" s="132" t="s">
        <v>1108</v>
      </c>
      <c r="H1194" s="132" t="s">
        <v>373</v>
      </c>
      <c r="I1194" s="132" t="s">
        <v>1100</v>
      </c>
      <c r="J1194" s="132" t="s">
        <v>3882</v>
      </c>
      <c r="K1194" s="132" t="s">
        <v>3883</v>
      </c>
      <c r="L1194" s="132" t="s">
        <v>3884</v>
      </c>
      <c r="M1194" s="132" t="s">
        <v>3885</v>
      </c>
      <c r="N1194" s="132" t="s">
        <v>1112</v>
      </c>
      <c r="O1194" s="132" t="s">
        <v>3391</v>
      </c>
      <c r="P1194" s="132" t="s">
        <v>3886</v>
      </c>
      <c r="Q1194" s="132" t="s">
        <v>3832</v>
      </c>
      <c r="R1194" s="132" t="s">
        <v>1108</v>
      </c>
    </row>
    <row r="1195" spans="1:18" x14ac:dyDescent="0.2">
      <c r="A1195" t="s">
        <v>234</v>
      </c>
      <c r="B1195" s="141">
        <f t="shared" si="18"/>
        <v>23.240000000000002</v>
      </c>
      <c r="C1195" s="280">
        <v>45771</v>
      </c>
      <c r="D1195" s="279">
        <v>45776</v>
      </c>
      <c r="E1195" s="279">
        <v>45776</v>
      </c>
      <c r="F1195" s="132"/>
      <c r="G1195" s="132" t="s">
        <v>1108</v>
      </c>
      <c r="H1195" s="132" t="s">
        <v>373</v>
      </c>
      <c r="I1195" s="132" t="s">
        <v>1100</v>
      </c>
      <c r="J1195" s="132" t="s">
        <v>3827</v>
      </c>
      <c r="K1195" s="132" t="s">
        <v>3834</v>
      </c>
      <c r="L1195" s="132" t="s">
        <v>3835</v>
      </c>
      <c r="M1195" s="132" t="s">
        <v>3887</v>
      </c>
      <c r="N1195" s="132" t="s">
        <v>1117</v>
      </c>
      <c r="O1195" s="132" t="s">
        <v>3391</v>
      </c>
      <c r="P1195" s="132" t="s">
        <v>3888</v>
      </c>
      <c r="Q1195" s="132" t="s">
        <v>3832</v>
      </c>
      <c r="R1195" s="132" t="s">
        <v>1108</v>
      </c>
    </row>
    <row r="1196" spans="1:18" x14ac:dyDescent="0.2">
      <c r="A1196" t="s">
        <v>234</v>
      </c>
      <c r="B1196" s="141">
        <f t="shared" si="18"/>
        <v>23.240000000000002</v>
      </c>
      <c r="C1196" s="280">
        <v>45771</v>
      </c>
      <c r="D1196" s="279">
        <v>45776</v>
      </c>
      <c r="E1196" s="279">
        <v>45776</v>
      </c>
      <c r="F1196" s="132"/>
      <c r="G1196" s="132" t="s">
        <v>1108</v>
      </c>
      <c r="H1196" s="132" t="s">
        <v>373</v>
      </c>
      <c r="I1196" s="132" t="s">
        <v>1100</v>
      </c>
      <c r="J1196" s="132" t="s">
        <v>3827</v>
      </c>
      <c r="K1196" s="132" t="s">
        <v>3834</v>
      </c>
      <c r="L1196" s="132" t="s">
        <v>3835</v>
      </c>
      <c r="M1196" s="132" t="s">
        <v>3889</v>
      </c>
      <c r="N1196" s="132" t="s">
        <v>1117</v>
      </c>
      <c r="O1196" s="132" t="s">
        <v>3391</v>
      </c>
      <c r="P1196" s="132" t="s">
        <v>3890</v>
      </c>
      <c r="Q1196" s="132" t="s">
        <v>3832</v>
      </c>
      <c r="R1196" s="132" t="s">
        <v>1108</v>
      </c>
    </row>
    <row r="1197" spans="1:18" x14ac:dyDescent="0.2">
      <c r="A1197" t="s">
        <v>234</v>
      </c>
      <c r="B1197" s="141">
        <f t="shared" si="18"/>
        <v>23.1</v>
      </c>
      <c r="C1197" s="280">
        <v>45771</v>
      </c>
      <c r="D1197" s="279">
        <v>45776</v>
      </c>
      <c r="E1197" s="279">
        <v>45776</v>
      </c>
      <c r="F1197" s="132"/>
      <c r="G1197" s="132" t="s">
        <v>1108</v>
      </c>
      <c r="H1197" s="132" t="s">
        <v>373</v>
      </c>
      <c r="I1197" s="132" t="s">
        <v>1100</v>
      </c>
      <c r="J1197" s="132" t="s">
        <v>3827</v>
      </c>
      <c r="K1197" s="132" t="s">
        <v>3828</v>
      </c>
      <c r="L1197" s="132" t="s">
        <v>3829</v>
      </c>
      <c r="M1197" s="132" t="s">
        <v>3891</v>
      </c>
      <c r="N1197" s="132" t="s">
        <v>1112</v>
      </c>
      <c r="O1197" s="132" t="s">
        <v>3391</v>
      </c>
      <c r="P1197" s="132" t="s">
        <v>3892</v>
      </c>
      <c r="Q1197" s="132" t="s">
        <v>3832</v>
      </c>
      <c r="R1197" s="132" t="s">
        <v>1108</v>
      </c>
    </row>
    <row r="1198" spans="1:18" x14ac:dyDescent="0.2">
      <c r="A1198" t="s">
        <v>234</v>
      </c>
      <c r="B1198" s="141">
        <f t="shared" si="18"/>
        <v>23.1</v>
      </c>
      <c r="C1198" s="280">
        <v>45771</v>
      </c>
      <c r="D1198" s="279">
        <v>45776</v>
      </c>
      <c r="E1198" s="279">
        <v>45776</v>
      </c>
      <c r="F1198" s="132"/>
      <c r="G1198" s="132" t="s">
        <v>1108</v>
      </c>
      <c r="H1198" s="132" t="s">
        <v>373</v>
      </c>
      <c r="I1198" s="132" t="s">
        <v>1100</v>
      </c>
      <c r="J1198" s="132" t="s">
        <v>3827</v>
      </c>
      <c r="K1198" s="132" t="s">
        <v>3828</v>
      </c>
      <c r="L1198" s="132" t="s">
        <v>3829</v>
      </c>
      <c r="M1198" s="132" t="s">
        <v>3893</v>
      </c>
      <c r="N1198" s="132" t="s">
        <v>1112</v>
      </c>
      <c r="O1198" s="132" t="s">
        <v>3391</v>
      </c>
      <c r="P1198" s="132" t="s">
        <v>3894</v>
      </c>
      <c r="Q1198" s="132" t="s">
        <v>3832</v>
      </c>
      <c r="R1198" s="132" t="s">
        <v>1108</v>
      </c>
    </row>
    <row r="1199" spans="1:18" x14ac:dyDescent="0.2">
      <c r="A1199" t="s">
        <v>234</v>
      </c>
      <c r="B1199" s="141">
        <f t="shared" si="18"/>
        <v>23.1</v>
      </c>
      <c r="C1199" s="280">
        <v>45771</v>
      </c>
      <c r="D1199" s="279">
        <v>45776</v>
      </c>
      <c r="E1199" s="279">
        <v>45776</v>
      </c>
      <c r="F1199" s="132"/>
      <c r="G1199" s="132" t="s">
        <v>1108</v>
      </c>
      <c r="H1199" s="132" t="s">
        <v>373</v>
      </c>
      <c r="I1199" s="132" t="s">
        <v>1100</v>
      </c>
      <c r="J1199" s="132" t="s">
        <v>3827</v>
      </c>
      <c r="K1199" s="132" t="s">
        <v>3828</v>
      </c>
      <c r="L1199" s="132" t="s">
        <v>3829</v>
      </c>
      <c r="M1199" s="132" t="s">
        <v>3895</v>
      </c>
      <c r="N1199" s="132" t="s">
        <v>1112</v>
      </c>
      <c r="O1199" s="132" t="s">
        <v>3391</v>
      </c>
      <c r="P1199" s="132" t="s">
        <v>3896</v>
      </c>
      <c r="Q1199" s="132" t="s">
        <v>3832</v>
      </c>
      <c r="R1199" s="132" t="s">
        <v>1108</v>
      </c>
    </row>
    <row r="1200" spans="1:18" x14ac:dyDescent="0.2">
      <c r="A1200" t="s">
        <v>234</v>
      </c>
      <c r="B1200" s="141">
        <f t="shared" si="18"/>
        <v>23.1</v>
      </c>
      <c r="C1200" s="280">
        <v>45771</v>
      </c>
      <c r="D1200" s="279">
        <v>45776</v>
      </c>
      <c r="E1200" s="279">
        <v>45776</v>
      </c>
      <c r="F1200" s="132"/>
      <c r="G1200" s="132" t="s">
        <v>1108</v>
      </c>
      <c r="H1200" s="132" t="s">
        <v>373</v>
      </c>
      <c r="I1200" s="132" t="s">
        <v>1100</v>
      </c>
      <c r="J1200" s="132" t="s">
        <v>3827</v>
      </c>
      <c r="K1200" s="132" t="s">
        <v>3828</v>
      </c>
      <c r="L1200" s="132" t="s">
        <v>3829</v>
      </c>
      <c r="M1200" s="132" t="s">
        <v>3897</v>
      </c>
      <c r="N1200" s="132" t="s">
        <v>1112</v>
      </c>
      <c r="O1200" s="132" t="s">
        <v>3391</v>
      </c>
      <c r="P1200" s="132" t="s">
        <v>3898</v>
      </c>
      <c r="Q1200" s="132" t="s">
        <v>3832</v>
      </c>
      <c r="R1200" s="132" t="s">
        <v>1108</v>
      </c>
    </row>
    <row r="1201" spans="1:18" x14ac:dyDescent="0.2">
      <c r="A1201" t="s">
        <v>234</v>
      </c>
      <c r="B1201" s="141">
        <f t="shared" si="18"/>
        <v>23.240000000000002</v>
      </c>
      <c r="C1201" s="280">
        <v>45771</v>
      </c>
      <c r="D1201" s="279">
        <v>45776</v>
      </c>
      <c r="E1201" s="279">
        <v>45776</v>
      </c>
      <c r="F1201" s="132"/>
      <c r="G1201" s="132" t="s">
        <v>2402</v>
      </c>
      <c r="H1201" s="132" t="s">
        <v>373</v>
      </c>
      <c r="I1201" s="132" t="s">
        <v>1100</v>
      </c>
      <c r="J1201" s="132" t="s">
        <v>3827</v>
      </c>
      <c r="K1201" s="132" t="s">
        <v>3834</v>
      </c>
      <c r="L1201" s="132" t="s">
        <v>3835</v>
      </c>
      <c r="M1201" s="132" t="s">
        <v>3899</v>
      </c>
      <c r="N1201" s="132" t="s">
        <v>1105</v>
      </c>
      <c r="O1201" s="132" t="s">
        <v>3391</v>
      </c>
      <c r="P1201" s="132" t="s">
        <v>3900</v>
      </c>
      <c r="Q1201" s="132" t="s">
        <v>3832</v>
      </c>
      <c r="R1201" s="132" t="s">
        <v>1108</v>
      </c>
    </row>
    <row r="1202" spans="1:18" x14ac:dyDescent="0.2">
      <c r="A1202" t="s">
        <v>234</v>
      </c>
      <c r="B1202" s="141">
        <f t="shared" si="18"/>
        <v>20.37</v>
      </c>
      <c r="C1202" s="280">
        <v>45771</v>
      </c>
      <c r="D1202" s="279">
        <v>45776</v>
      </c>
      <c r="E1202" s="279">
        <v>45776</v>
      </c>
      <c r="F1202" s="132"/>
      <c r="G1202" s="132" t="s">
        <v>1108</v>
      </c>
      <c r="H1202" s="132" t="s">
        <v>373</v>
      </c>
      <c r="I1202" s="132" t="s">
        <v>1100</v>
      </c>
      <c r="J1202" s="132" t="s">
        <v>3901</v>
      </c>
      <c r="K1202" s="132" t="s">
        <v>3834</v>
      </c>
      <c r="L1202" s="132" t="s">
        <v>3902</v>
      </c>
      <c r="M1202" s="132" t="s">
        <v>3903</v>
      </c>
      <c r="N1202" s="132" t="s">
        <v>1112</v>
      </c>
      <c r="O1202" s="132" t="s">
        <v>3391</v>
      </c>
      <c r="P1202" s="132" t="s">
        <v>3904</v>
      </c>
      <c r="Q1202" s="132" t="s">
        <v>3832</v>
      </c>
      <c r="R1202" s="132" t="s">
        <v>1108</v>
      </c>
    </row>
    <row r="1203" spans="1:18" x14ac:dyDescent="0.2">
      <c r="A1203" t="s">
        <v>189</v>
      </c>
      <c r="B1203" s="141">
        <f t="shared" si="18"/>
        <v>7.55</v>
      </c>
      <c r="C1203" s="280">
        <v>45771</v>
      </c>
      <c r="D1203" s="279">
        <v>45776</v>
      </c>
      <c r="E1203" s="279">
        <v>45776</v>
      </c>
      <c r="F1203" s="132"/>
      <c r="G1203" s="132" t="s">
        <v>1108</v>
      </c>
      <c r="H1203" s="132" t="s">
        <v>373</v>
      </c>
      <c r="I1203" s="132" t="s">
        <v>1100</v>
      </c>
      <c r="J1203" s="132" t="s">
        <v>1949</v>
      </c>
      <c r="K1203" s="132" t="s">
        <v>1950</v>
      </c>
      <c r="L1203" s="132" t="s">
        <v>1951</v>
      </c>
      <c r="M1203" s="132" t="s">
        <v>3905</v>
      </c>
      <c r="N1203" s="132" t="s">
        <v>1117</v>
      </c>
      <c r="O1203" s="132" t="s">
        <v>3391</v>
      </c>
      <c r="P1203" s="132" t="s">
        <v>3906</v>
      </c>
      <c r="Q1203" s="132" t="s">
        <v>3832</v>
      </c>
      <c r="R1203" s="132" t="s">
        <v>1108</v>
      </c>
    </row>
    <row r="1204" spans="1:18" x14ac:dyDescent="0.2">
      <c r="A1204" t="s">
        <v>189</v>
      </c>
      <c r="B1204" s="141">
        <f t="shared" si="18"/>
        <v>7.55</v>
      </c>
      <c r="C1204" s="280">
        <v>45771</v>
      </c>
      <c r="D1204" s="279">
        <v>45776</v>
      </c>
      <c r="E1204" s="279">
        <v>45776</v>
      </c>
      <c r="F1204" s="132"/>
      <c r="G1204" s="132" t="s">
        <v>1665</v>
      </c>
      <c r="H1204" s="132" t="s">
        <v>373</v>
      </c>
      <c r="I1204" s="132" t="s">
        <v>1100</v>
      </c>
      <c r="J1204" s="132" t="s">
        <v>1949</v>
      </c>
      <c r="K1204" s="132" t="s">
        <v>1950</v>
      </c>
      <c r="L1204" s="132" t="s">
        <v>1951</v>
      </c>
      <c r="M1204" s="132" t="s">
        <v>3907</v>
      </c>
      <c r="N1204" s="132" t="s">
        <v>1105</v>
      </c>
      <c r="O1204" s="132" t="s">
        <v>3391</v>
      </c>
      <c r="P1204" s="132" t="s">
        <v>3908</v>
      </c>
      <c r="Q1204" s="132" t="s">
        <v>3832</v>
      </c>
      <c r="R1204" s="132" t="s">
        <v>1108</v>
      </c>
    </row>
    <row r="1205" spans="1:18" x14ac:dyDescent="0.2">
      <c r="A1205" t="s">
        <v>189</v>
      </c>
      <c r="B1205" s="141">
        <f t="shared" si="18"/>
        <v>7.55</v>
      </c>
      <c r="C1205" s="280">
        <v>45771</v>
      </c>
      <c r="D1205" s="279">
        <v>45776</v>
      </c>
      <c r="E1205" s="279">
        <v>45776</v>
      </c>
      <c r="F1205" s="132"/>
      <c r="G1205" s="132" t="s">
        <v>2294</v>
      </c>
      <c r="H1205" s="132" t="s">
        <v>373</v>
      </c>
      <c r="I1205" s="132" t="s">
        <v>1100</v>
      </c>
      <c r="J1205" s="132" t="s">
        <v>1949</v>
      </c>
      <c r="K1205" s="132" t="s">
        <v>1950</v>
      </c>
      <c r="L1205" s="132" t="s">
        <v>1951</v>
      </c>
      <c r="M1205" s="132" t="s">
        <v>3909</v>
      </c>
      <c r="N1205" s="132" t="s">
        <v>1105</v>
      </c>
      <c r="O1205" s="132" t="s">
        <v>3391</v>
      </c>
      <c r="P1205" s="132" t="s">
        <v>3910</v>
      </c>
      <c r="Q1205" s="132" t="s">
        <v>3832</v>
      </c>
      <c r="R1205" s="132" t="s">
        <v>1108</v>
      </c>
    </row>
    <row r="1206" spans="1:18" x14ac:dyDescent="0.2">
      <c r="A1206" t="s">
        <v>189</v>
      </c>
      <c r="B1206" s="141">
        <f t="shared" si="18"/>
        <v>7.55</v>
      </c>
      <c r="C1206" s="280">
        <v>45771</v>
      </c>
      <c r="D1206" s="279">
        <v>45776</v>
      </c>
      <c r="E1206" s="279">
        <v>45776</v>
      </c>
      <c r="F1206" s="132"/>
      <c r="G1206" s="132" t="s">
        <v>1108</v>
      </c>
      <c r="H1206" s="132" t="s">
        <v>373</v>
      </c>
      <c r="I1206" s="132" t="s">
        <v>1100</v>
      </c>
      <c r="J1206" s="132" t="s">
        <v>1949</v>
      </c>
      <c r="K1206" s="132" t="s">
        <v>1950</v>
      </c>
      <c r="L1206" s="132" t="s">
        <v>1951</v>
      </c>
      <c r="M1206" s="132" t="s">
        <v>3911</v>
      </c>
      <c r="N1206" s="132" t="s">
        <v>1117</v>
      </c>
      <c r="O1206" s="132" t="s">
        <v>3391</v>
      </c>
      <c r="P1206" s="132" t="s">
        <v>3912</v>
      </c>
      <c r="Q1206" s="132" t="s">
        <v>3832</v>
      </c>
      <c r="R1206" s="132" t="s">
        <v>1108</v>
      </c>
    </row>
    <row r="1207" spans="1:18" x14ac:dyDescent="0.2">
      <c r="A1207" t="s">
        <v>189</v>
      </c>
      <c r="B1207" s="141">
        <f t="shared" ref="B1207:B1270" si="19">_xlfn.NUMBERVALUE(L1207)*0.01</f>
        <v>7.55</v>
      </c>
      <c r="C1207" s="280">
        <v>45771</v>
      </c>
      <c r="D1207" s="279">
        <v>45776</v>
      </c>
      <c r="E1207" s="279">
        <v>45776</v>
      </c>
      <c r="F1207" s="132"/>
      <c r="G1207" s="132" t="s">
        <v>3913</v>
      </c>
      <c r="H1207" s="132" t="s">
        <v>373</v>
      </c>
      <c r="I1207" s="132" t="s">
        <v>1100</v>
      </c>
      <c r="J1207" s="132" t="s">
        <v>1949</v>
      </c>
      <c r="K1207" s="132" t="s">
        <v>1950</v>
      </c>
      <c r="L1207" s="132" t="s">
        <v>1951</v>
      </c>
      <c r="M1207" s="132" t="s">
        <v>3914</v>
      </c>
      <c r="N1207" s="132" t="s">
        <v>1105</v>
      </c>
      <c r="O1207" s="132" t="s">
        <v>3391</v>
      </c>
      <c r="P1207" s="132" t="s">
        <v>3915</v>
      </c>
      <c r="Q1207" s="132" t="s">
        <v>3832</v>
      </c>
      <c r="R1207" s="132" t="s">
        <v>1108</v>
      </c>
    </row>
    <row r="1208" spans="1:18" x14ac:dyDescent="0.2">
      <c r="A1208" t="s">
        <v>234</v>
      </c>
      <c r="B1208" s="141">
        <f t="shared" si="19"/>
        <v>23.240000000000002</v>
      </c>
      <c r="C1208" s="280">
        <v>45772</v>
      </c>
      <c r="D1208" s="279">
        <v>45776</v>
      </c>
      <c r="E1208" s="279">
        <v>45776</v>
      </c>
      <c r="F1208" s="132"/>
      <c r="G1208" s="132" t="s">
        <v>1108</v>
      </c>
      <c r="H1208" s="132" t="s">
        <v>373</v>
      </c>
      <c r="I1208" s="132" t="s">
        <v>1100</v>
      </c>
      <c r="J1208" s="132" t="s">
        <v>3827</v>
      </c>
      <c r="K1208" s="132" t="s">
        <v>3834</v>
      </c>
      <c r="L1208" s="132" t="s">
        <v>3835</v>
      </c>
      <c r="M1208" s="132" t="s">
        <v>3916</v>
      </c>
      <c r="N1208" s="132" t="s">
        <v>1117</v>
      </c>
      <c r="O1208" s="132" t="s">
        <v>3391</v>
      </c>
      <c r="P1208" s="132" t="s">
        <v>3917</v>
      </c>
      <c r="Q1208" s="132" t="s">
        <v>3832</v>
      </c>
      <c r="R1208" s="132" t="s">
        <v>1108</v>
      </c>
    </row>
    <row r="1209" spans="1:18" x14ac:dyDescent="0.2">
      <c r="A1209" t="s">
        <v>234</v>
      </c>
      <c r="B1209" s="141">
        <f t="shared" si="19"/>
        <v>23.240000000000002</v>
      </c>
      <c r="C1209" s="280">
        <v>45772</v>
      </c>
      <c r="D1209" s="279">
        <v>45777</v>
      </c>
      <c r="E1209" s="279">
        <v>45777</v>
      </c>
      <c r="F1209" s="132"/>
      <c r="G1209" s="132" t="s">
        <v>1108</v>
      </c>
      <c r="H1209" s="132" t="s">
        <v>373</v>
      </c>
      <c r="I1209" s="132" t="s">
        <v>1100</v>
      </c>
      <c r="J1209" s="132" t="s">
        <v>3827</v>
      </c>
      <c r="K1209" s="132" t="s">
        <v>3834</v>
      </c>
      <c r="L1209" s="132" t="s">
        <v>3835</v>
      </c>
      <c r="M1209" s="132" t="s">
        <v>3918</v>
      </c>
      <c r="N1209" s="132" t="s">
        <v>1117</v>
      </c>
      <c r="O1209" s="132" t="s">
        <v>3391</v>
      </c>
      <c r="P1209" s="132" t="s">
        <v>3919</v>
      </c>
      <c r="Q1209" s="132" t="s">
        <v>3920</v>
      </c>
      <c r="R1209" s="132" t="s">
        <v>1108</v>
      </c>
    </row>
    <row r="1210" spans="1:18" x14ac:dyDescent="0.2">
      <c r="A1210" t="s">
        <v>234</v>
      </c>
      <c r="B1210" s="141">
        <f t="shared" si="19"/>
        <v>23.1</v>
      </c>
      <c r="C1210" s="280">
        <v>45772</v>
      </c>
      <c r="D1210" s="279">
        <v>45777</v>
      </c>
      <c r="E1210" s="279">
        <v>45777</v>
      </c>
      <c r="F1210" s="132"/>
      <c r="G1210" s="132" t="s">
        <v>1108</v>
      </c>
      <c r="H1210" s="132" t="s">
        <v>373</v>
      </c>
      <c r="I1210" s="132" t="s">
        <v>1100</v>
      </c>
      <c r="J1210" s="132" t="s">
        <v>3827</v>
      </c>
      <c r="K1210" s="132" t="s">
        <v>3828</v>
      </c>
      <c r="L1210" s="132" t="s">
        <v>3829</v>
      </c>
      <c r="M1210" s="132" t="s">
        <v>3921</v>
      </c>
      <c r="N1210" s="132" t="s">
        <v>1112</v>
      </c>
      <c r="O1210" s="132" t="s">
        <v>3391</v>
      </c>
      <c r="P1210" s="132" t="s">
        <v>3922</v>
      </c>
      <c r="Q1210" s="132" t="s">
        <v>3920</v>
      </c>
      <c r="R1210" s="132" t="s">
        <v>1108</v>
      </c>
    </row>
    <row r="1211" spans="1:18" x14ac:dyDescent="0.2">
      <c r="A1211" t="s">
        <v>234</v>
      </c>
      <c r="B1211" s="141">
        <f t="shared" si="19"/>
        <v>23.240000000000002</v>
      </c>
      <c r="C1211" s="280">
        <v>45772</v>
      </c>
      <c r="D1211" s="279">
        <v>45777</v>
      </c>
      <c r="E1211" s="279">
        <v>45777</v>
      </c>
      <c r="F1211" s="132"/>
      <c r="G1211" s="132" t="s">
        <v>1108</v>
      </c>
      <c r="H1211" s="132" t="s">
        <v>373</v>
      </c>
      <c r="I1211" s="132" t="s">
        <v>1100</v>
      </c>
      <c r="J1211" s="132" t="s">
        <v>3827</v>
      </c>
      <c r="K1211" s="132" t="s">
        <v>3834</v>
      </c>
      <c r="L1211" s="132" t="s">
        <v>3835</v>
      </c>
      <c r="M1211" s="132" t="s">
        <v>3923</v>
      </c>
      <c r="N1211" s="132" t="s">
        <v>1117</v>
      </c>
      <c r="O1211" s="132" t="s">
        <v>3391</v>
      </c>
      <c r="P1211" s="132" t="s">
        <v>3924</v>
      </c>
      <c r="Q1211" s="132" t="s">
        <v>3920</v>
      </c>
      <c r="R1211" s="132" t="s">
        <v>1108</v>
      </c>
    </row>
    <row r="1212" spans="1:18" x14ac:dyDescent="0.2">
      <c r="A1212" t="s">
        <v>234</v>
      </c>
      <c r="B1212" s="141">
        <f t="shared" si="19"/>
        <v>23.240000000000002</v>
      </c>
      <c r="C1212" s="280">
        <v>45772</v>
      </c>
      <c r="D1212" s="279">
        <v>45777</v>
      </c>
      <c r="E1212" s="279">
        <v>45777</v>
      </c>
      <c r="F1212" s="132"/>
      <c r="G1212" s="132" t="s">
        <v>1378</v>
      </c>
      <c r="H1212" s="132" t="s">
        <v>373</v>
      </c>
      <c r="I1212" s="132" t="s">
        <v>1100</v>
      </c>
      <c r="J1212" s="132" t="s">
        <v>3827</v>
      </c>
      <c r="K1212" s="132" t="s">
        <v>3834</v>
      </c>
      <c r="L1212" s="132" t="s">
        <v>3835</v>
      </c>
      <c r="M1212" s="132" t="s">
        <v>3925</v>
      </c>
      <c r="N1212" s="132" t="s">
        <v>1105</v>
      </c>
      <c r="O1212" s="132" t="s">
        <v>3391</v>
      </c>
      <c r="P1212" s="132" t="s">
        <v>3926</v>
      </c>
      <c r="Q1212" s="132" t="s">
        <v>3920</v>
      </c>
      <c r="R1212" s="132" t="s">
        <v>1108</v>
      </c>
    </row>
    <row r="1213" spans="1:18" x14ac:dyDescent="0.2">
      <c r="A1213" t="s">
        <v>234</v>
      </c>
      <c r="B1213" s="141">
        <f t="shared" si="19"/>
        <v>23.1</v>
      </c>
      <c r="C1213" s="280">
        <v>45772</v>
      </c>
      <c r="D1213" s="279">
        <v>45777</v>
      </c>
      <c r="E1213" s="279">
        <v>45777</v>
      </c>
      <c r="F1213" s="132"/>
      <c r="G1213" s="132" t="s">
        <v>1108</v>
      </c>
      <c r="H1213" s="132" t="s">
        <v>373</v>
      </c>
      <c r="I1213" s="132" t="s">
        <v>1100</v>
      </c>
      <c r="J1213" s="132" t="s">
        <v>3827</v>
      </c>
      <c r="K1213" s="132" t="s">
        <v>3828</v>
      </c>
      <c r="L1213" s="132" t="s">
        <v>3829</v>
      </c>
      <c r="M1213" s="132" t="s">
        <v>3927</v>
      </c>
      <c r="N1213" s="132" t="s">
        <v>1112</v>
      </c>
      <c r="O1213" s="132" t="s">
        <v>3391</v>
      </c>
      <c r="P1213" s="132" t="s">
        <v>3928</v>
      </c>
      <c r="Q1213" s="132" t="s">
        <v>3920</v>
      </c>
      <c r="R1213" s="132" t="s">
        <v>1108</v>
      </c>
    </row>
    <row r="1214" spans="1:18" x14ac:dyDescent="0.2">
      <c r="A1214" t="s">
        <v>235</v>
      </c>
      <c r="B1214" s="141">
        <f t="shared" si="19"/>
        <v>50.4</v>
      </c>
      <c r="C1214" s="280">
        <v>45772</v>
      </c>
      <c r="D1214" s="279">
        <v>45777</v>
      </c>
      <c r="E1214" s="279">
        <v>45777</v>
      </c>
      <c r="F1214" s="132"/>
      <c r="G1214" s="132" t="s">
        <v>1108</v>
      </c>
      <c r="H1214" s="132" t="s">
        <v>373</v>
      </c>
      <c r="I1214" s="132" t="s">
        <v>1100</v>
      </c>
      <c r="J1214" s="132" t="s">
        <v>3882</v>
      </c>
      <c r="K1214" s="132" t="s">
        <v>3883</v>
      </c>
      <c r="L1214" s="132" t="s">
        <v>3884</v>
      </c>
      <c r="M1214" s="132" t="s">
        <v>3929</v>
      </c>
      <c r="N1214" s="132" t="s">
        <v>1112</v>
      </c>
      <c r="O1214" s="132" t="s">
        <v>3391</v>
      </c>
      <c r="P1214" s="132" t="s">
        <v>3930</v>
      </c>
      <c r="Q1214" s="132" t="s">
        <v>3920</v>
      </c>
      <c r="R1214" s="132" t="s">
        <v>1108</v>
      </c>
    </row>
    <row r="1215" spans="1:18" x14ac:dyDescent="0.2">
      <c r="A1215" t="s">
        <v>234</v>
      </c>
      <c r="B1215" s="141">
        <f t="shared" si="19"/>
        <v>23.240000000000002</v>
      </c>
      <c r="C1215" s="280">
        <v>45772</v>
      </c>
      <c r="D1215" s="279">
        <v>45777</v>
      </c>
      <c r="E1215" s="279">
        <v>45777</v>
      </c>
      <c r="F1215" s="132"/>
      <c r="G1215" s="132" t="s">
        <v>1108</v>
      </c>
      <c r="H1215" s="132" t="s">
        <v>373</v>
      </c>
      <c r="I1215" s="132" t="s">
        <v>1100</v>
      </c>
      <c r="J1215" s="132" t="s">
        <v>3827</v>
      </c>
      <c r="K1215" s="132" t="s">
        <v>3834</v>
      </c>
      <c r="L1215" s="132" t="s">
        <v>3835</v>
      </c>
      <c r="M1215" s="132" t="s">
        <v>3931</v>
      </c>
      <c r="N1215" s="132" t="s">
        <v>1117</v>
      </c>
      <c r="O1215" s="132" t="s">
        <v>3391</v>
      </c>
      <c r="P1215" s="132" t="s">
        <v>3932</v>
      </c>
      <c r="Q1215" s="132" t="s">
        <v>3920</v>
      </c>
      <c r="R1215" s="132" t="s">
        <v>1108</v>
      </c>
    </row>
    <row r="1216" spans="1:18" x14ac:dyDescent="0.2">
      <c r="A1216" t="s">
        <v>234</v>
      </c>
      <c r="B1216" s="141">
        <f t="shared" si="19"/>
        <v>23.1</v>
      </c>
      <c r="C1216" s="280">
        <v>45772</v>
      </c>
      <c r="D1216" s="279">
        <v>45777</v>
      </c>
      <c r="E1216" s="279">
        <v>45777</v>
      </c>
      <c r="F1216" s="132"/>
      <c r="G1216" s="132" t="s">
        <v>1108</v>
      </c>
      <c r="H1216" s="132" t="s">
        <v>373</v>
      </c>
      <c r="I1216" s="132" t="s">
        <v>1100</v>
      </c>
      <c r="J1216" s="132" t="s">
        <v>3827</v>
      </c>
      <c r="K1216" s="132" t="s">
        <v>3828</v>
      </c>
      <c r="L1216" s="132" t="s">
        <v>3829</v>
      </c>
      <c r="M1216" s="132" t="s">
        <v>3933</v>
      </c>
      <c r="N1216" s="132" t="s">
        <v>1112</v>
      </c>
      <c r="O1216" s="132" t="s">
        <v>3391</v>
      </c>
      <c r="P1216" s="132" t="s">
        <v>3934</v>
      </c>
      <c r="Q1216" s="132" t="s">
        <v>3920</v>
      </c>
      <c r="R1216" s="132" t="s">
        <v>1108</v>
      </c>
    </row>
    <row r="1217" spans="1:18" x14ac:dyDescent="0.2">
      <c r="A1217" t="s">
        <v>234</v>
      </c>
      <c r="B1217" s="141">
        <f t="shared" si="19"/>
        <v>23.240000000000002</v>
      </c>
      <c r="C1217" s="280">
        <v>45772</v>
      </c>
      <c r="D1217" s="279">
        <v>45777</v>
      </c>
      <c r="E1217" s="279">
        <v>45777</v>
      </c>
      <c r="F1217" s="132"/>
      <c r="G1217" s="132" t="s">
        <v>1108</v>
      </c>
      <c r="H1217" s="132" t="s">
        <v>373</v>
      </c>
      <c r="I1217" s="132" t="s">
        <v>1100</v>
      </c>
      <c r="J1217" s="132" t="s">
        <v>3827</v>
      </c>
      <c r="K1217" s="132" t="s">
        <v>3834</v>
      </c>
      <c r="L1217" s="132" t="s">
        <v>3835</v>
      </c>
      <c r="M1217" s="132" t="s">
        <v>3935</v>
      </c>
      <c r="N1217" s="132" t="s">
        <v>1117</v>
      </c>
      <c r="O1217" s="132" t="s">
        <v>3391</v>
      </c>
      <c r="P1217" s="132" t="s">
        <v>3936</v>
      </c>
      <c r="Q1217" s="132" t="s">
        <v>3920</v>
      </c>
      <c r="R1217" s="132" t="s">
        <v>1108</v>
      </c>
    </row>
    <row r="1218" spans="1:18" x14ac:dyDescent="0.2">
      <c r="A1218" t="s">
        <v>234</v>
      </c>
      <c r="B1218" s="141">
        <f t="shared" si="19"/>
        <v>23.240000000000002</v>
      </c>
      <c r="C1218" s="280">
        <v>45772</v>
      </c>
      <c r="D1218" s="279">
        <v>45777</v>
      </c>
      <c r="E1218" s="279">
        <v>45777</v>
      </c>
      <c r="F1218" s="132"/>
      <c r="G1218" s="132" t="s">
        <v>1166</v>
      </c>
      <c r="H1218" s="132" t="s">
        <v>373</v>
      </c>
      <c r="I1218" s="132" t="s">
        <v>1100</v>
      </c>
      <c r="J1218" s="132" t="s">
        <v>3827</v>
      </c>
      <c r="K1218" s="132" t="s">
        <v>3834</v>
      </c>
      <c r="L1218" s="132" t="s">
        <v>3835</v>
      </c>
      <c r="M1218" s="132" t="s">
        <v>3937</v>
      </c>
      <c r="N1218" s="132" t="s">
        <v>1105</v>
      </c>
      <c r="O1218" s="132" t="s">
        <v>3391</v>
      </c>
      <c r="P1218" s="132" t="s">
        <v>3938</v>
      </c>
      <c r="Q1218" s="132" t="s">
        <v>3920</v>
      </c>
      <c r="R1218" s="132" t="s">
        <v>1108</v>
      </c>
    </row>
    <row r="1219" spans="1:18" x14ac:dyDescent="0.2">
      <c r="A1219" t="s">
        <v>234</v>
      </c>
      <c r="B1219" s="141">
        <f t="shared" si="19"/>
        <v>23.240000000000002</v>
      </c>
      <c r="C1219" s="280">
        <v>45772</v>
      </c>
      <c r="D1219" s="279">
        <v>45777</v>
      </c>
      <c r="E1219" s="279">
        <v>45777</v>
      </c>
      <c r="F1219" s="132"/>
      <c r="G1219" s="132" t="s">
        <v>1357</v>
      </c>
      <c r="H1219" s="132" t="s">
        <v>373</v>
      </c>
      <c r="I1219" s="132" t="s">
        <v>1100</v>
      </c>
      <c r="J1219" s="132" t="s">
        <v>3827</v>
      </c>
      <c r="K1219" s="132" t="s">
        <v>3834</v>
      </c>
      <c r="L1219" s="132" t="s">
        <v>3835</v>
      </c>
      <c r="M1219" s="132" t="s">
        <v>3939</v>
      </c>
      <c r="N1219" s="132" t="s">
        <v>1105</v>
      </c>
      <c r="O1219" s="132" t="s">
        <v>3391</v>
      </c>
      <c r="P1219" s="132" t="s">
        <v>3940</v>
      </c>
      <c r="Q1219" s="132" t="s">
        <v>3920</v>
      </c>
      <c r="R1219" s="132" t="s">
        <v>1108</v>
      </c>
    </row>
    <row r="1220" spans="1:18" x14ac:dyDescent="0.2">
      <c r="A1220" t="s">
        <v>189</v>
      </c>
      <c r="B1220" s="141">
        <f t="shared" si="19"/>
        <v>7.55</v>
      </c>
      <c r="C1220" s="280">
        <v>45772</v>
      </c>
      <c r="D1220" s="279">
        <v>45777</v>
      </c>
      <c r="E1220" s="279">
        <v>45777</v>
      </c>
      <c r="F1220" s="132"/>
      <c r="G1220" s="132" t="s">
        <v>1357</v>
      </c>
      <c r="H1220" s="132" t="s">
        <v>373</v>
      </c>
      <c r="I1220" s="132" t="s">
        <v>1100</v>
      </c>
      <c r="J1220" s="132" t="s">
        <v>1949</v>
      </c>
      <c r="K1220" s="132" t="s">
        <v>1950</v>
      </c>
      <c r="L1220" s="132" t="s">
        <v>1951</v>
      </c>
      <c r="M1220" s="132" t="s">
        <v>3941</v>
      </c>
      <c r="N1220" s="132" t="s">
        <v>1105</v>
      </c>
      <c r="O1220" s="132" t="s">
        <v>3391</v>
      </c>
      <c r="P1220" s="132" t="s">
        <v>3942</v>
      </c>
      <c r="Q1220" s="132" t="s">
        <v>3920</v>
      </c>
      <c r="R1220" s="132" t="s">
        <v>1108</v>
      </c>
    </row>
    <row r="1221" spans="1:18" x14ac:dyDescent="0.2">
      <c r="A1221" t="s">
        <v>235</v>
      </c>
      <c r="B1221" s="141">
        <f t="shared" si="19"/>
        <v>50.71</v>
      </c>
      <c r="C1221" s="280">
        <v>45772</v>
      </c>
      <c r="D1221" s="279">
        <v>45777</v>
      </c>
      <c r="E1221" s="279">
        <v>45777</v>
      </c>
      <c r="F1221" s="132"/>
      <c r="G1221" s="132" t="s">
        <v>1108</v>
      </c>
      <c r="H1221" s="132" t="s">
        <v>373</v>
      </c>
      <c r="I1221" s="132" t="s">
        <v>1100</v>
      </c>
      <c r="J1221" s="132" t="s">
        <v>3882</v>
      </c>
      <c r="K1221" s="132" t="s">
        <v>3943</v>
      </c>
      <c r="L1221" s="132" t="s">
        <v>3944</v>
      </c>
      <c r="M1221" s="132" t="s">
        <v>3945</v>
      </c>
      <c r="N1221" s="132" t="s">
        <v>1117</v>
      </c>
      <c r="O1221" s="132" t="s">
        <v>3391</v>
      </c>
      <c r="P1221" s="132" t="s">
        <v>3946</v>
      </c>
      <c r="Q1221" s="132" t="s">
        <v>3920</v>
      </c>
      <c r="R1221" s="132" t="s">
        <v>1108</v>
      </c>
    </row>
    <row r="1222" spans="1:18" x14ac:dyDescent="0.2">
      <c r="A1222" t="s">
        <v>235</v>
      </c>
      <c r="B1222" s="141">
        <f t="shared" si="19"/>
        <v>82.100000000000009</v>
      </c>
      <c r="C1222" s="280">
        <v>45772</v>
      </c>
      <c r="D1222" s="279">
        <v>45777</v>
      </c>
      <c r="E1222" s="279">
        <v>45777</v>
      </c>
      <c r="F1222" s="132"/>
      <c r="G1222" s="132" t="s">
        <v>1330</v>
      </c>
      <c r="H1222" s="132" t="s">
        <v>373</v>
      </c>
      <c r="I1222" s="132" t="s">
        <v>1100</v>
      </c>
      <c r="J1222" s="132" t="s">
        <v>3947</v>
      </c>
      <c r="K1222" s="132" t="s">
        <v>3948</v>
      </c>
      <c r="L1222" s="132" t="s">
        <v>3949</v>
      </c>
      <c r="M1222" s="132" t="s">
        <v>3950</v>
      </c>
      <c r="N1222" s="132" t="s">
        <v>1105</v>
      </c>
      <c r="O1222" s="132" t="s">
        <v>3391</v>
      </c>
      <c r="P1222" s="132" t="s">
        <v>3951</v>
      </c>
      <c r="Q1222" s="132" t="s">
        <v>3920</v>
      </c>
      <c r="R1222" s="132" t="s">
        <v>1108</v>
      </c>
    </row>
    <row r="1223" spans="1:18" x14ac:dyDescent="0.2">
      <c r="A1223" t="s">
        <v>234</v>
      </c>
      <c r="B1223" s="141">
        <f t="shared" si="19"/>
        <v>23.240000000000002</v>
      </c>
      <c r="C1223" s="280">
        <v>45772</v>
      </c>
      <c r="D1223" s="279">
        <v>45777</v>
      </c>
      <c r="E1223" s="279">
        <v>45777</v>
      </c>
      <c r="F1223" s="132"/>
      <c r="G1223" s="132" t="s">
        <v>1108</v>
      </c>
      <c r="H1223" s="132" t="s">
        <v>373</v>
      </c>
      <c r="I1223" s="132" t="s">
        <v>1100</v>
      </c>
      <c r="J1223" s="132" t="s">
        <v>3827</v>
      </c>
      <c r="K1223" s="132" t="s">
        <v>3834</v>
      </c>
      <c r="L1223" s="132" t="s">
        <v>3835</v>
      </c>
      <c r="M1223" s="132" t="s">
        <v>3952</v>
      </c>
      <c r="N1223" s="132" t="s">
        <v>1117</v>
      </c>
      <c r="O1223" s="132" t="s">
        <v>3391</v>
      </c>
      <c r="P1223" s="132" t="s">
        <v>3953</v>
      </c>
      <c r="Q1223" s="132" t="s">
        <v>3920</v>
      </c>
      <c r="R1223" s="132" t="s">
        <v>1108</v>
      </c>
    </row>
    <row r="1224" spans="1:18" x14ac:dyDescent="0.2">
      <c r="A1224" t="s">
        <v>189</v>
      </c>
      <c r="B1224" s="141">
        <f t="shared" si="19"/>
        <v>7.5</v>
      </c>
      <c r="C1224" s="280">
        <v>45772</v>
      </c>
      <c r="D1224" s="279">
        <v>45777</v>
      </c>
      <c r="E1224" s="279">
        <v>45777</v>
      </c>
      <c r="F1224" s="132"/>
      <c r="G1224" s="132" t="s">
        <v>1108</v>
      </c>
      <c r="H1224" s="132" t="s">
        <v>373</v>
      </c>
      <c r="I1224" s="132" t="s">
        <v>1100</v>
      </c>
      <c r="J1224" s="132" t="s">
        <v>1949</v>
      </c>
      <c r="K1224" s="132" t="s">
        <v>2170</v>
      </c>
      <c r="L1224" s="132" t="s">
        <v>3057</v>
      </c>
      <c r="M1224" s="132" t="s">
        <v>3954</v>
      </c>
      <c r="N1224" s="132" t="s">
        <v>1112</v>
      </c>
      <c r="O1224" s="132" t="s">
        <v>3391</v>
      </c>
      <c r="P1224" s="132" t="s">
        <v>3955</v>
      </c>
      <c r="Q1224" s="132" t="s">
        <v>3920</v>
      </c>
      <c r="R1224" s="132" t="s">
        <v>1108</v>
      </c>
    </row>
    <row r="1225" spans="1:18" x14ac:dyDescent="0.2">
      <c r="A1225" t="s">
        <v>234</v>
      </c>
      <c r="B1225" s="141">
        <f t="shared" si="19"/>
        <v>23.240000000000002</v>
      </c>
      <c r="C1225" s="280">
        <v>45772</v>
      </c>
      <c r="D1225" s="279">
        <v>45777</v>
      </c>
      <c r="E1225" s="279">
        <v>45777</v>
      </c>
      <c r="F1225" s="132"/>
      <c r="G1225" s="132" t="s">
        <v>3174</v>
      </c>
      <c r="H1225" s="132" t="s">
        <v>373</v>
      </c>
      <c r="I1225" s="132" t="s">
        <v>1100</v>
      </c>
      <c r="J1225" s="132" t="s">
        <v>3827</v>
      </c>
      <c r="K1225" s="132" t="s">
        <v>3834</v>
      </c>
      <c r="L1225" s="132" t="s">
        <v>3835</v>
      </c>
      <c r="M1225" s="132" t="s">
        <v>3956</v>
      </c>
      <c r="N1225" s="132" t="s">
        <v>1105</v>
      </c>
      <c r="O1225" s="132" t="s">
        <v>3391</v>
      </c>
      <c r="P1225" s="132" t="s">
        <v>3957</v>
      </c>
      <c r="Q1225" s="132" t="s">
        <v>3920</v>
      </c>
      <c r="R1225" s="132" t="s">
        <v>1108</v>
      </c>
    </row>
    <row r="1226" spans="1:18" x14ac:dyDescent="0.2">
      <c r="A1226" t="s">
        <v>189</v>
      </c>
      <c r="B1226" s="141">
        <f t="shared" si="19"/>
        <v>7.55</v>
      </c>
      <c r="C1226" s="280">
        <v>45772</v>
      </c>
      <c r="D1226" s="279">
        <v>45777</v>
      </c>
      <c r="E1226" s="279">
        <v>45777</v>
      </c>
      <c r="F1226" s="132"/>
      <c r="G1226" s="132" t="s">
        <v>1108</v>
      </c>
      <c r="H1226" s="132" t="s">
        <v>373</v>
      </c>
      <c r="I1226" s="132" t="s">
        <v>1100</v>
      </c>
      <c r="J1226" s="132" t="s">
        <v>1949</v>
      </c>
      <c r="K1226" s="132" t="s">
        <v>1950</v>
      </c>
      <c r="L1226" s="132" t="s">
        <v>1951</v>
      </c>
      <c r="M1226" s="132" t="s">
        <v>3958</v>
      </c>
      <c r="N1226" s="132" t="s">
        <v>1117</v>
      </c>
      <c r="O1226" s="132" t="s">
        <v>3391</v>
      </c>
      <c r="P1226" s="132" t="s">
        <v>3959</v>
      </c>
      <c r="Q1226" s="132" t="s">
        <v>3920</v>
      </c>
      <c r="R1226" s="132" t="s">
        <v>1108</v>
      </c>
    </row>
    <row r="1227" spans="1:18" x14ac:dyDescent="0.2">
      <c r="A1227" t="s">
        <v>189</v>
      </c>
      <c r="B1227" s="141">
        <f t="shared" si="19"/>
        <v>7.5</v>
      </c>
      <c r="C1227" s="280">
        <v>45772</v>
      </c>
      <c r="D1227" s="279">
        <v>45777</v>
      </c>
      <c r="E1227" s="279">
        <v>45777</v>
      </c>
      <c r="F1227" s="132"/>
      <c r="G1227" s="132" t="s">
        <v>1108</v>
      </c>
      <c r="H1227" s="132" t="s">
        <v>373</v>
      </c>
      <c r="I1227" s="132" t="s">
        <v>1100</v>
      </c>
      <c r="J1227" s="132" t="s">
        <v>1949</v>
      </c>
      <c r="K1227" s="132" t="s">
        <v>2170</v>
      </c>
      <c r="L1227" s="132" t="s">
        <v>3057</v>
      </c>
      <c r="M1227" s="132" t="s">
        <v>3960</v>
      </c>
      <c r="N1227" s="132" t="s">
        <v>1112</v>
      </c>
      <c r="O1227" s="132" t="s">
        <v>3391</v>
      </c>
      <c r="P1227" s="132" t="s">
        <v>3961</v>
      </c>
      <c r="Q1227" s="132" t="s">
        <v>3920</v>
      </c>
      <c r="R1227" s="132" t="s">
        <v>1108</v>
      </c>
    </row>
    <row r="1228" spans="1:18" x14ac:dyDescent="0.2">
      <c r="A1228" t="s">
        <v>234</v>
      </c>
      <c r="B1228" s="141">
        <f t="shared" si="19"/>
        <v>23.1</v>
      </c>
      <c r="C1228" s="280">
        <v>45772</v>
      </c>
      <c r="D1228" s="279">
        <v>45777</v>
      </c>
      <c r="E1228" s="279">
        <v>45777</v>
      </c>
      <c r="F1228" s="132"/>
      <c r="G1228" s="132" t="s">
        <v>1108</v>
      </c>
      <c r="H1228" s="132" t="s">
        <v>373</v>
      </c>
      <c r="I1228" s="132" t="s">
        <v>1100</v>
      </c>
      <c r="J1228" s="132" t="s">
        <v>3827</v>
      </c>
      <c r="K1228" s="132" t="s">
        <v>3828</v>
      </c>
      <c r="L1228" s="132" t="s">
        <v>3829</v>
      </c>
      <c r="M1228" s="132" t="s">
        <v>3962</v>
      </c>
      <c r="N1228" s="132" t="s">
        <v>1112</v>
      </c>
      <c r="O1228" s="132" t="s">
        <v>3391</v>
      </c>
      <c r="P1228" s="132" t="s">
        <v>3963</v>
      </c>
      <c r="Q1228" s="132" t="s">
        <v>3920</v>
      </c>
      <c r="R1228" s="132" t="s">
        <v>1108</v>
      </c>
    </row>
    <row r="1229" spans="1:18" x14ac:dyDescent="0.2">
      <c r="A1229" t="s">
        <v>234</v>
      </c>
      <c r="B1229" s="141">
        <f t="shared" si="19"/>
        <v>23.1</v>
      </c>
      <c r="C1229" s="280">
        <v>45772</v>
      </c>
      <c r="D1229" s="279">
        <v>45777</v>
      </c>
      <c r="E1229" s="279">
        <v>45777</v>
      </c>
      <c r="F1229" s="132"/>
      <c r="G1229" s="132" t="s">
        <v>1108</v>
      </c>
      <c r="H1229" s="132" t="s">
        <v>373</v>
      </c>
      <c r="I1229" s="132" t="s">
        <v>1100</v>
      </c>
      <c r="J1229" s="132" t="s">
        <v>3827</v>
      </c>
      <c r="K1229" s="132" t="s">
        <v>3828</v>
      </c>
      <c r="L1229" s="132" t="s">
        <v>3829</v>
      </c>
      <c r="M1229" s="132" t="s">
        <v>3964</v>
      </c>
      <c r="N1229" s="132" t="s">
        <v>1112</v>
      </c>
      <c r="O1229" s="132" t="s">
        <v>3391</v>
      </c>
      <c r="P1229" s="132" t="s">
        <v>3965</v>
      </c>
      <c r="Q1229" s="132" t="s">
        <v>3920</v>
      </c>
      <c r="R1229" s="132" t="s">
        <v>1108</v>
      </c>
    </row>
    <row r="1230" spans="1:18" x14ac:dyDescent="0.2">
      <c r="A1230" t="s">
        <v>189</v>
      </c>
      <c r="B1230" s="141">
        <f t="shared" si="19"/>
        <v>7.55</v>
      </c>
      <c r="C1230" s="280">
        <v>45773</v>
      </c>
      <c r="D1230" s="279">
        <v>45779</v>
      </c>
      <c r="E1230" s="279">
        <v>45779</v>
      </c>
      <c r="F1230" s="132"/>
      <c r="G1230" s="132" t="s">
        <v>1383</v>
      </c>
      <c r="H1230" s="132" t="s">
        <v>373</v>
      </c>
      <c r="I1230" s="132" t="s">
        <v>1100</v>
      </c>
      <c r="J1230" s="132" t="s">
        <v>1949</v>
      </c>
      <c r="K1230" s="132" t="s">
        <v>1950</v>
      </c>
      <c r="L1230" s="132" t="s">
        <v>1951</v>
      </c>
      <c r="M1230" s="132" t="s">
        <v>3966</v>
      </c>
      <c r="N1230" s="132" t="s">
        <v>1105</v>
      </c>
      <c r="O1230" s="132" t="s">
        <v>3391</v>
      </c>
      <c r="P1230" s="132" t="s">
        <v>3967</v>
      </c>
      <c r="Q1230" s="132" t="s">
        <v>3968</v>
      </c>
      <c r="R1230" s="132" t="s">
        <v>1108</v>
      </c>
    </row>
    <row r="1231" spans="1:18" x14ac:dyDescent="0.2">
      <c r="A1231" t="s">
        <v>190</v>
      </c>
      <c r="B1231" s="141">
        <f t="shared" si="19"/>
        <v>9.4500000000000011</v>
      </c>
      <c r="C1231" s="280">
        <v>45773</v>
      </c>
      <c r="D1231" s="279">
        <v>45779</v>
      </c>
      <c r="E1231" s="279">
        <v>45779</v>
      </c>
      <c r="F1231" s="132"/>
      <c r="G1231" s="132" t="s">
        <v>1108</v>
      </c>
      <c r="H1231" s="132" t="s">
        <v>373</v>
      </c>
      <c r="I1231" s="132" t="s">
        <v>1100</v>
      </c>
      <c r="J1231" s="132" t="s">
        <v>3766</v>
      </c>
      <c r="K1231" s="132" t="s">
        <v>3969</v>
      </c>
      <c r="L1231" s="132" t="s">
        <v>3970</v>
      </c>
      <c r="M1231" s="132" t="s">
        <v>3971</v>
      </c>
      <c r="N1231" s="132" t="s">
        <v>1112</v>
      </c>
      <c r="O1231" s="132" t="s">
        <v>3391</v>
      </c>
      <c r="P1231" s="132" t="s">
        <v>3972</v>
      </c>
      <c r="Q1231" s="132" t="s">
        <v>3968</v>
      </c>
      <c r="R1231" s="132" t="s">
        <v>1108</v>
      </c>
    </row>
    <row r="1232" spans="1:18" x14ac:dyDescent="0.2">
      <c r="A1232" t="s">
        <v>234</v>
      </c>
      <c r="B1232" s="141">
        <f t="shared" si="19"/>
        <v>23.240000000000002</v>
      </c>
      <c r="C1232" s="280">
        <v>45773</v>
      </c>
      <c r="D1232" s="279">
        <v>45779</v>
      </c>
      <c r="E1232" s="279">
        <v>45779</v>
      </c>
      <c r="F1232" s="132"/>
      <c r="G1232" s="132" t="s">
        <v>1108</v>
      </c>
      <c r="H1232" s="132" t="s">
        <v>373</v>
      </c>
      <c r="I1232" s="132" t="s">
        <v>1100</v>
      </c>
      <c r="J1232" s="132" t="s">
        <v>3827</v>
      </c>
      <c r="K1232" s="132" t="s">
        <v>3834</v>
      </c>
      <c r="L1232" s="132" t="s">
        <v>3835</v>
      </c>
      <c r="M1232" s="132" t="s">
        <v>3973</v>
      </c>
      <c r="N1232" s="132" t="s">
        <v>1117</v>
      </c>
      <c r="O1232" s="132" t="s">
        <v>3391</v>
      </c>
      <c r="P1232" s="132" t="s">
        <v>3974</v>
      </c>
      <c r="Q1232" s="132" t="s">
        <v>3968</v>
      </c>
      <c r="R1232" s="132" t="s">
        <v>1108</v>
      </c>
    </row>
    <row r="1233" spans="1:18" x14ac:dyDescent="0.2">
      <c r="A1233" t="s">
        <v>234</v>
      </c>
      <c r="B1233" s="141">
        <f t="shared" si="19"/>
        <v>23.1</v>
      </c>
      <c r="C1233" s="280">
        <v>45774</v>
      </c>
      <c r="D1233" s="279">
        <v>45779</v>
      </c>
      <c r="E1233" s="279">
        <v>45779</v>
      </c>
      <c r="F1233" s="132"/>
      <c r="G1233" s="132" t="s">
        <v>1108</v>
      </c>
      <c r="H1233" s="132" t="s">
        <v>373</v>
      </c>
      <c r="I1233" s="132" t="s">
        <v>1100</v>
      </c>
      <c r="J1233" s="132" t="s">
        <v>3827</v>
      </c>
      <c r="K1233" s="132" t="s">
        <v>3828</v>
      </c>
      <c r="L1233" s="132" t="s">
        <v>3829</v>
      </c>
      <c r="M1233" s="132" t="s">
        <v>3975</v>
      </c>
      <c r="N1233" s="132" t="s">
        <v>1112</v>
      </c>
      <c r="O1233" s="132" t="s">
        <v>3391</v>
      </c>
      <c r="P1233" s="132" t="s">
        <v>3976</v>
      </c>
      <c r="Q1233" s="132" t="s">
        <v>3968</v>
      </c>
      <c r="R1233" s="132" t="s">
        <v>1108</v>
      </c>
    </row>
    <row r="1234" spans="1:18" x14ac:dyDescent="0.2">
      <c r="A1234" t="s">
        <v>234</v>
      </c>
      <c r="B1234" s="141">
        <f t="shared" si="19"/>
        <v>23.1</v>
      </c>
      <c r="C1234" s="280">
        <v>45774</v>
      </c>
      <c r="D1234" s="279">
        <v>45779</v>
      </c>
      <c r="E1234" s="279">
        <v>45779</v>
      </c>
      <c r="F1234" s="132"/>
      <c r="G1234" s="132" t="s">
        <v>1108</v>
      </c>
      <c r="H1234" s="132" t="s">
        <v>373</v>
      </c>
      <c r="I1234" s="132" t="s">
        <v>1100</v>
      </c>
      <c r="J1234" s="132" t="s">
        <v>3827</v>
      </c>
      <c r="K1234" s="132" t="s">
        <v>3828</v>
      </c>
      <c r="L1234" s="132" t="s">
        <v>3829</v>
      </c>
      <c r="M1234" s="132" t="s">
        <v>3977</v>
      </c>
      <c r="N1234" s="132" t="s">
        <v>1112</v>
      </c>
      <c r="O1234" s="132" t="s">
        <v>3391</v>
      </c>
      <c r="P1234" s="132" t="s">
        <v>3978</v>
      </c>
      <c r="Q1234" s="132" t="s">
        <v>3968</v>
      </c>
      <c r="R1234" s="132" t="s">
        <v>1108</v>
      </c>
    </row>
    <row r="1235" spans="1:18" x14ac:dyDescent="0.2">
      <c r="A1235" t="s">
        <v>234</v>
      </c>
      <c r="B1235" s="141">
        <f t="shared" si="19"/>
        <v>23.1</v>
      </c>
      <c r="C1235" s="280">
        <v>45774</v>
      </c>
      <c r="D1235" s="279">
        <v>45779</v>
      </c>
      <c r="E1235" s="279">
        <v>45779</v>
      </c>
      <c r="F1235" s="132"/>
      <c r="G1235" s="132" t="s">
        <v>1108</v>
      </c>
      <c r="H1235" s="132" t="s">
        <v>373</v>
      </c>
      <c r="I1235" s="132" t="s">
        <v>1100</v>
      </c>
      <c r="J1235" s="132" t="s">
        <v>3827</v>
      </c>
      <c r="K1235" s="132" t="s">
        <v>3828</v>
      </c>
      <c r="L1235" s="132" t="s">
        <v>3829</v>
      </c>
      <c r="M1235" s="132" t="s">
        <v>3979</v>
      </c>
      <c r="N1235" s="132" t="s">
        <v>1112</v>
      </c>
      <c r="O1235" s="132" t="s">
        <v>3391</v>
      </c>
      <c r="P1235" s="132" t="s">
        <v>3980</v>
      </c>
      <c r="Q1235" s="132" t="s">
        <v>3968</v>
      </c>
      <c r="R1235" s="132" t="s">
        <v>1108</v>
      </c>
    </row>
    <row r="1236" spans="1:18" x14ac:dyDescent="0.2">
      <c r="A1236" t="s">
        <v>234</v>
      </c>
      <c r="B1236" s="141">
        <f t="shared" si="19"/>
        <v>23.240000000000002</v>
      </c>
      <c r="C1236" s="280">
        <v>45774</v>
      </c>
      <c r="D1236" s="279">
        <v>45779</v>
      </c>
      <c r="E1236" s="279">
        <v>45779</v>
      </c>
      <c r="F1236" s="132"/>
      <c r="G1236" s="132" t="s">
        <v>1712</v>
      </c>
      <c r="H1236" s="132" t="s">
        <v>373</v>
      </c>
      <c r="I1236" s="132" t="s">
        <v>1100</v>
      </c>
      <c r="J1236" s="132" t="s">
        <v>3827</v>
      </c>
      <c r="K1236" s="132" t="s">
        <v>3834</v>
      </c>
      <c r="L1236" s="132" t="s">
        <v>3835</v>
      </c>
      <c r="M1236" s="132" t="s">
        <v>3981</v>
      </c>
      <c r="N1236" s="132" t="s">
        <v>1105</v>
      </c>
      <c r="O1236" s="132" t="s">
        <v>3391</v>
      </c>
      <c r="P1236" s="132" t="s">
        <v>3982</v>
      </c>
      <c r="Q1236" s="132" t="s">
        <v>3968</v>
      </c>
      <c r="R1236" s="132" t="s">
        <v>1108</v>
      </c>
    </row>
    <row r="1237" spans="1:18" x14ac:dyDescent="0.2">
      <c r="B1237" s="141">
        <f t="shared" si="19"/>
        <v>11.4</v>
      </c>
      <c r="C1237" s="280">
        <v>45774</v>
      </c>
      <c r="D1237" s="279">
        <v>45779</v>
      </c>
      <c r="E1237" s="279">
        <v>45779</v>
      </c>
      <c r="F1237" s="132"/>
      <c r="G1237" s="132" t="s">
        <v>1108</v>
      </c>
      <c r="H1237" s="132" t="s">
        <v>373</v>
      </c>
      <c r="I1237" s="132" t="s">
        <v>1100</v>
      </c>
      <c r="J1237" s="132" t="s">
        <v>3983</v>
      </c>
      <c r="K1237" s="132" t="s">
        <v>2042</v>
      </c>
      <c r="L1237" s="132" t="s">
        <v>1688</v>
      </c>
      <c r="M1237" s="132" t="s">
        <v>3984</v>
      </c>
      <c r="N1237" s="132" t="s">
        <v>1112</v>
      </c>
      <c r="O1237" s="132" t="s">
        <v>3391</v>
      </c>
      <c r="P1237" s="132" t="s">
        <v>3985</v>
      </c>
      <c r="Q1237" s="132" t="s">
        <v>3968</v>
      </c>
      <c r="R1237" s="132" t="s">
        <v>1108</v>
      </c>
    </row>
    <row r="1238" spans="1:18" x14ac:dyDescent="0.2">
      <c r="A1238" t="s">
        <v>234</v>
      </c>
      <c r="B1238" s="141">
        <f t="shared" si="19"/>
        <v>23.240000000000002</v>
      </c>
      <c r="C1238" s="280">
        <v>45775</v>
      </c>
      <c r="D1238" s="279">
        <v>45779</v>
      </c>
      <c r="E1238" s="279">
        <v>45779</v>
      </c>
      <c r="F1238" s="132"/>
      <c r="G1238" s="132" t="s">
        <v>1108</v>
      </c>
      <c r="H1238" s="132" t="s">
        <v>373</v>
      </c>
      <c r="I1238" s="132" t="s">
        <v>1100</v>
      </c>
      <c r="J1238" s="132" t="s">
        <v>3827</v>
      </c>
      <c r="K1238" s="132" t="s">
        <v>3834</v>
      </c>
      <c r="L1238" s="132" t="s">
        <v>3835</v>
      </c>
      <c r="M1238" s="132" t="s">
        <v>3986</v>
      </c>
      <c r="N1238" s="132" t="s">
        <v>1117</v>
      </c>
      <c r="O1238" s="132" t="s">
        <v>3391</v>
      </c>
      <c r="P1238" s="132" t="s">
        <v>3987</v>
      </c>
      <c r="Q1238" s="132" t="s">
        <v>3968</v>
      </c>
      <c r="R1238" s="132" t="s">
        <v>1108</v>
      </c>
    </row>
    <row r="1239" spans="1:18" x14ac:dyDescent="0.2">
      <c r="A1239" t="s">
        <v>235</v>
      </c>
      <c r="B1239" s="141">
        <f t="shared" si="19"/>
        <v>50.4</v>
      </c>
      <c r="C1239" s="280">
        <v>45775</v>
      </c>
      <c r="D1239" s="279">
        <v>45779</v>
      </c>
      <c r="E1239" s="279">
        <v>45779</v>
      </c>
      <c r="F1239" s="132"/>
      <c r="G1239" s="132" t="s">
        <v>1108</v>
      </c>
      <c r="H1239" s="132" t="s">
        <v>373</v>
      </c>
      <c r="I1239" s="132" t="s">
        <v>1100</v>
      </c>
      <c r="J1239" s="132" t="s">
        <v>3882</v>
      </c>
      <c r="K1239" s="132" t="s">
        <v>3883</v>
      </c>
      <c r="L1239" s="132" t="s">
        <v>3884</v>
      </c>
      <c r="M1239" s="132" t="s">
        <v>3988</v>
      </c>
      <c r="N1239" s="132" t="s">
        <v>1112</v>
      </c>
      <c r="O1239" s="132" t="s">
        <v>3391</v>
      </c>
      <c r="P1239" s="132" t="s">
        <v>3989</v>
      </c>
      <c r="Q1239" s="132" t="s">
        <v>3968</v>
      </c>
      <c r="R1239" s="132" t="s">
        <v>1108</v>
      </c>
    </row>
    <row r="1240" spans="1:18" x14ac:dyDescent="0.2">
      <c r="A1240" t="s">
        <v>234</v>
      </c>
      <c r="B1240" s="141">
        <f t="shared" si="19"/>
        <v>23.1</v>
      </c>
      <c r="C1240" s="280">
        <v>45776</v>
      </c>
      <c r="D1240" s="279">
        <v>45782</v>
      </c>
      <c r="E1240" s="279">
        <v>45782</v>
      </c>
      <c r="F1240" s="132"/>
      <c r="G1240" s="132" t="s">
        <v>1108</v>
      </c>
      <c r="H1240" s="132" t="s">
        <v>373</v>
      </c>
      <c r="I1240" s="132" t="s">
        <v>1100</v>
      </c>
      <c r="J1240" s="132" t="s">
        <v>3827</v>
      </c>
      <c r="K1240" s="132" t="s">
        <v>3828</v>
      </c>
      <c r="L1240" s="132" t="s">
        <v>3829</v>
      </c>
      <c r="M1240" s="132" t="s">
        <v>3990</v>
      </c>
      <c r="N1240" s="132" t="s">
        <v>1112</v>
      </c>
      <c r="O1240" s="132" t="s">
        <v>3391</v>
      </c>
      <c r="P1240" s="132" t="s">
        <v>3991</v>
      </c>
      <c r="Q1240" s="132" t="s">
        <v>3992</v>
      </c>
      <c r="R1240" s="132" t="s">
        <v>1108</v>
      </c>
    </row>
    <row r="1241" spans="1:18" x14ac:dyDescent="0.2">
      <c r="A1241" t="s">
        <v>189</v>
      </c>
      <c r="B1241" s="141">
        <f t="shared" si="19"/>
        <v>7.55</v>
      </c>
      <c r="C1241" s="280">
        <v>45776</v>
      </c>
      <c r="D1241" s="279">
        <v>45782</v>
      </c>
      <c r="E1241" s="279">
        <v>45782</v>
      </c>
      <c r="F1241" s="132"/>
      <c r="G1241" s="132" t="s">
        <v>1813</v>
      </c>
      <c r="H1241" s="132" t="s">
        <v>373</v>
      </c>
      <c r="I1241" s="132" t="s">
        <v>1100</v>
      </c>
      <c r="J1241" s="132" t="s">
        <v>1949</v>
      </c>
      <c r="K1241" s="132" t="s">
        <v>1950</v>
      </c>
      <c r="L1241" s="132" t="s">
        <v>1951</v>
      </c>
      <c r="M1241" s="132" t="s">
        <v>3993</v>
      </c>
      <c r="N1241" s="132" t="s">
        <v>1105</v>
      </c>
      <c r="O1241" s="132" t="s">
        <v>3391</v>
      </c>
      <c r="P1241" s="132" t="s">
        <v>3994</v>
      </c>
      <c r="Q1241" s="132" t="s">
        <v>3992</v>
      </c>
      <c r="R1241" s="132" t="s">
        <v>1108</v>
      </c>
    </row>
    <row r="1242" spans="1:18" x14ac:dyDescent="0.2">
      <c r="A1242" t="s">
        <v>234</v>
      </c>
      <c r="B1242" s="141">
        <f t="shared" si="19"/>
        <v>23.1</v>
      </c>
      <c r="C1242" s="280">
        <v>45777</v>
      </c>
      <c r="D1242" s="279">
        <v>45782</v>
      </c>
      <c r="E1242" s="279">
        <v>45782</v>
      </c>
      <c r="F1242" s="132"/>
      <c r="G1242" s="132" t="s">
        <v>1108</v>
      </c>
      <c r="H1242" s="132" t="s">
        <v>373</v>
      </c>
      <c r="I1242" s="132" t="s">
        <v>1100</v>
      </c>
      <c r="J1242" s="132" t="s">
        <v>3827</v>
      </c>
      <c r="K1242" s="132" t="s">
        <v>3828</v>
      </c>
      <c r="L1242" s="132" t="s">
        <v>3829</v>
      </c>
      <c r="M1242" s="132" t="s">
        <v>3995</v>
      </c>
      <c r="N1242" s="132" t="s">
        <v>1112</v>
      </c>
      <c r="O1242" s="132" t="s">
        <v>3391</v>
      </c>
      <c r="P1242" s="132" t="s">
        <v>3996</v>
      </c>
      <c r="Q1242" s="132" t="s">
        <v>3992</v>
      </c>
      <c r="R1242" s="132" t="s">
        <v>1108</v>
      </c>
    </row>
    <row r="1243" spans="1:18" x14ac:dyDescent="0.2">
      <c r="A1243" t="s">
        <v>189</v>
      </c>
      <c r="B1243" s="141">
        <f t="shared" si="19"/>
        <v>7.55</v>
      </c>
      <c r="C1243" s="280">
        <v>45777</v>
      </c>
      <c r="D1243" s="279">
        <v>45783</v>
      </c>
      <c r="E1243" s="279">
        <v>45783</v>
      </c>
      <c r="F1243" s="132"/>
      <c r="G1243" s="132" t="s">
        <v>1108</v>
      </c>
      <c r="H1243" s="132" t="s">
        <v>373</v>
      </c>
      <c r="I1243" s="132" t="s">
        <v>1100</v>
      </c>
      <c r="J1243" s="132" t="s">
        <v>1949</v>
      </c>
      <c r="K1243" s="132" t="s">
        <v>1950</v>
      </c>
      <c r="L1243" s="132" t="s">
        <v>1951</v>
      </c>
      <c r="M1243" s="132" t="s">
        <v>3997</v>
      </c>
      <c r="N1243" s="132" t="s">
        <v>1117</v>
      </c>
      <c r="O1243" s="132" t="s">
        <v>3391</v>
      </c>
      <c r="P1243" s="132" t="s">
        <v>3998</v>
      </c>
      <c r="Q1243" s="132" t="s">
        <v>3999</v>
      </c>
      <c r="R1243" s="132" t="s">
        <v>1108</v>
      </c>
    </row>
    <row r="1244" spans="1:18" x14ac:dyDescent="0.2">
      <c r="A1244" t="s">
        <v>234</v>
      </c>
      <c r="B1244" s="141">
        <f t="shared" si="19"/>
        <v>23.1</v>
      </c>
      <c r="C1244" s="280">
        <v>45779</v>
      </c>
      <c r="D1244" s="279">
        <v>45783</v>
      </c>
      <c r="E1244" s="279">
        <v>45783</v>
      </c>
      <c r="F1244" s="132"/>
      <c r="G1244" s="132" t="s">
        <v>1108</v>
      </c>
      <c r="H1244" s="132" t="s">
        <v>373</v>
      </c>
      <c r="I1244" s="132" t="s">
        <v>1100</v>
      </c>
      <c r="J1244" s="132" t="s">
        <v>3827</v>
      </c>
      <c r="K1244" s="132" t="s">
        <v>3828</v>
      </c>
      <c r="L1244" s="132" t="s">
        <v>3829</v>
      </c>
      <c r="M1244" s="132" t="s">
        <v>4000</v>
      </c>
      <c r="N1244" s="132" t="s">
        <v>1112</v>
      </c>
      <c r="O1244" s="132" t="s">
        <v>3391</v>
      </c>
      <c r="P1244" s="132" t="s">
        <v>4001</v>
      </c>
      <c r="Q1244" s="132" t="s">
        <v>3999</v>
      </c>
      <c r="R1244" s="132" t="s">
        <v>1108</v>
      </c>
    </row>
    <row r="1245" spans="1:18" x14ac:dyDescent="0.2">
      <c r="A1245" t="s">
        <v>234</v>
      </c>
      <c r="B1245" s="141">
        <f t="shared" si="19"/>
        <v>23.240000000000002</v>
      </c>
      <c r="C1245" s="280">
        <v>45779</v>
      </c>
      <c r="D1245" s="279">
        <v>45783</v>
      </c>
      <c r="E1245" s="279">
        <v>45783</v>
      </c>
      <c r="F1245" s="132"/>
      <c r="G1245" s="132" t="s">
        <v>1108</v>
      </c>
      <c r="H1245" s="132" t="s">
        <v>373</v>
      </c>
      <c r="I1245" s="132" t="s">
        <v>1100</v>
      </c>
      <c r="J1245" s="132" t="s">
        <v>3827</v>
      </c>
      <c r="K1245" s="132" t="s">
        <v>3834</v>
      </c>
      <c r="L1245" s="132" t="s">
        <v>3835</v>
      </c>
      <c r="M1245" s="132" t="s">
        <v>4002</v>
      </c>
      <c r="N1245" s="132" t="s">
        <v>1117</v>
      </c>
      <c r="O1245" s="132" t="s">
        <v>3391</v>
      </c>
      <c r="P1245" s="132" t="s">
        <v>4003</v>
      </c>
      <c r="Q1245" s="132" t="s">
        <v>3999</v>
      </c>
      <c r="R1245" s="132" t="s">
        <v>1108</v>
      </c>
    </row>
    <row r="1246" spans="1:18" x14ac:dyDescent="0.2">
      <c r="A1246" t="s">
        <v>235</v>
      </c>
      <c r="B1246" s="141">
        <f t="shared" si="19"/>
        <v>27</v>
      </c>
      <c r="C1246" s="280">
        <v>45779</v>
      </c>
      <c r="D1246" s="279">
        <v>45783</v>
      </c>
      <c r="E1246" s="279">
        <v>45783</v>
      </c>
      <c r="F1246" s="132"/>
      <c r="G1246" s="132" t="s">
        <v>1108</v>
      </c>
      <c r="H1246" s="132" t="s">
        <v>373</v>
      </c>
      <c r="I1246" s="132" t="s">
        <v>1100</v>
      </c>
      <c r="J1246" s="132" t="s">
        <v>3849</v>
      </c>
      <c r="K1246" s="132" t="s">
        <v>1714</v>
      </c>
      <c r="L1246" s="132" t="s">
        <v>4004</v>
      </c>
      <c r="M1246" s="132" t="s">
        <v>4005</v>
      </c>
      <c r="N1246" s="132" t="s">
        <v>1112</v>
      </c>
      <c r="O1246" s="132" t="s">
        <v>3391</v>
      </c>
      <c r="P1246" s="132" t="s">
        <v>4006</v>
      </c>
      <c r="Q1246" s="132" t="s">
        <v>3999</v>
      </c>
      <c r="R1246" s="132" t="s">
        <v>1108</v>
      </c>
    </row>
    <row r="1247" spans="1:18" x14ac:dyDescent="0.2">
      <c r="A1247" t="s">
        <v>234</v>
      </c>
      <c r="B1247" s="141">
        <f t="shared" si="19"/>
        <v>23.1</v>
      </c>
      <c r="C1247" s="280">
        <v>45779</v>
      </c>
      <c r="D1247" s="279">
        <v>45783</v>
      </c>
      <c r="E1247" s="279">
        <v>45783</v>
      </c>
      <c r="F1247" s="132"/>
      <c r="G1247" s="132" t="s">
        <v>1108</v>
      </c>
      <c r="H1247" s="132" t="s">
        <v>373</v>
      </c>
      <c r="I1247" s="132" t="s">
        <v>1100</v>
      </c>
      <c r="J1247" s="132" t="s">
        <v>3827</v>
      </c>
      <c r="K1247" s="132" t="s">
        <v>3828</v>
      </c>
      <c r="L1247" s="132" t="s">
        <v>3829</v>
      </c>
      <c r="M1247" s="132" t="s">
        <v>4007</v>
      </c>
      <c r="N1247" s="132" t="s">
        <v>1112</v>
      </c>
      <c r="O1247" s="132" t="s">
        <v>3391</v>
      </c>
      <c r="P1247" s="132" t="s">
        <v>4008</v>
      </c>
      <c r="Q1247" s="132" t="s">
        <v>3999</v>
      </c>
      <c r="R1247" s="132" t="s">
        <v>1108</v>
      </c>
    </row>
    <row r="1248" spans="1:18" x14ac:dyDescent="0.2">
      <c r="A1248" t="s">
        <v>235</v>
      </c>
      <c r="B1248" s="141">
        <f t="shared" si="19"/>
        <v>27.17</v>
      </c>
      <c r="C1248" s="280">
        <v>45780</v>
      </c>
      <c r="D1248" s="279">
        <v>45783</v>
      </c>
      <c r="E1248" s="279">
        <v>45783</v>
      </c>
      <c r="F1248" s="132"/>
      <c r="G1248" s="132" t="s">
        <v>1108</v>
      </c>
      <c r="H1248" s="132" t="s">
        <v>373</v>
      </c>
      <c r="I1248" s="132" t="s">
        <v>1100</v>
      </c>
      <c r="J1248" s="132" t="s">
        <v>3849</v>
      </c>
      <c r="K1248" s="132" t="s">
        <v>3850</v>
      </c>
      <c r="L1248" s="132" t="s">
        <v>3851</v>
      </c>
      <c r="M1248" s="132" t="s">
        <v>4009</v>
      </c>
      <c r="N1248" s="132" t="s">
        <v>1117</v>
      </c>
      <c r="O1248" s="132" t="s">
        <v>3391</v>
      </c>
      <c r="P1248" s="132" t="s">
        <v>4010</v>
      </c>
      <c r="Q1248" s="132" t="s">
        <v>3999</v>
      </c>
      <c r="R1248" s="132" t="s">
        <v>1108</v>
      </c>
    </row>
    <row r="1249" spans="1:18" x14ac:dyDescent="0.2">
      <c r="A1249" t="s">
        <v>235</v>
      </c>
      <c r="B1249" s="141">
        <f t="shared" si="19"/>
        <v>27.17</v>
      </c>
      <c r="C1249" s="280">
        <v>45780</v>
      </c>
      <c r="D1249" s="279">
        <v>45783</v>
      </c>
      <c r="E1249" s="279">
        <v>45783</v>
      </c>
      <c r="F1249" s="132"/>
      <c r="G1249" s="132" t="s">
        <v>4011</v>
      </c>
      <c r="H1249" s="132" t="s">
        <v>373</v>
      </c>
      <c r="I1249" s="132" t="s">
        <v>1100</v>
      </c>
      <c r="J1249" s="132" t="s">
        <v>3849</v>
      </c>
      <c r="K1249" s="132" t="s">
        <v>3850</v>
      </c>
      <c r="L1249" s="132" t="s">
        <v>3851</v>
      </c>
      <c r="M1249" s="132" t="s">
        <v>4012</v>
      </c>
      <c r="N1249" s="132" t="s">
        <v>1105</v>
      </c>
      <c r="O1249" s="132" t="s">
        <v>3391</v>
      </c>
      <c r="P1249" s="132" t="s">
        <v>4013</v>
      </c>
      <c r="Q1249" s="132" t="s">
        <v>3999</v>
      </c>
      <c r="R1249" s="132" t="s">
        <v>1108</v>
      </c>
    </row>
    <row r="1250" spans="1:18" x14ac:dyDescent="0.2">
      <c r="A1250" t="s">
        <v>234</v>
      </c>
      <c r="B1250" s="141">
        <f t="shared" si="19"/>
        <v>23.1</v>
      </c>
      <c r="C1250" s="280">
        <v>45782</v>
      </c>
      <c r="D1250" s="279">
        <v>45784</v>
      </c>
      <c r="E1250" s="279">
        <v>45784</v>
      </c>
      <c r="F1250" s="132"/>
      <c r="G1250" s="132" t="s">
        <v>1108</v>
      </c>
      <c r="H1250" s="132" t="s">
        <v>373</v>
      </c>
      <c r="I1250" s="132" t="s">
        <v>1100</v>
      </c>
      <c r="J1250" s="132" t="s">
        <v>3827</v>
      </c>
      <c r="K1250" s="132" t="s">
        <v>3828</v>
      </c>
      <c r="L1250" s="132" t="s">
        <v>3829</v>
      </c>
      <c r="M1250" s="132" t="s">
        <v>4014</v>
      </c>
      <c r="N1250" s="132" t="s">
        <v>1112</v>
      </c>
      <c r="O1250" s="132" t="s">
        <v>3391</v>
      </c>
      <c r="P1250" s="281" t="s">
        <v>4015</v>
      </c>
      <c r="Q1250" s="132" t="s">
        <v>4016</v>
      </c>
      <c r="R1250" s="132" t="s">
        <v>1108</v>
      </c>
    </row>
    <row r="1251" spans="1:18" x14ac:dyDescent="0.2">
      <c r="A1251" t="s">
        <v>234</v>
      </c>
      <c r="B1251" s="141">
        <f t="shared" si="19"/>
        <v>23.1</v>
      </c>
      <c r="C1251" s="280">
        <v>45782</v>
      </c>
      <c r="D1251" s="279">
        <v>45784</v>
      </c>
      <c r="E1251" s="279">
        <v>45784</v>
      </c>
      <c r="F1251" s="132"/>
      <c r="G1251" s="132" t="s">
        <v>1108</v>
      </c>
      <c r="H1251" s="132" t="s">
        <v>373</v>
      </c>
      <c r="I1251" s="132" t="s">
        <v>1100</v>
      </c>
      <c r="J1251" s="132" t="s">
        <v>3827</v>
      </c>
      <c r="K1251" s="132" t="s">
        <v>3828</v>
      </c>
      <c r="L1251" s="132" t="s">
        <v>3829</v>
      </c>
      <c r="M1251" s="132" t="s">
        <v>4017</v>
      </c>
      <c r="N1251" s="132" t="s">
        <v>1112</v>
      </c>
      <c r="O1251" s="132" t="s">
        <v>3391</v>
      </c>
      <c r="P1251" s="132" t="s">
        <v>4018</v>
      </c>
      <c r="Q1251" s="132" t="s">
        <v>4016</v>
      </c>
      <c r="R1251" s="132" t="s">
        <v>1108</v>
      </c>
    </row>
    <row r="1252" spans="1:18" x14ac:dyDescent="0.2">
      <c r="A1252" t="s">
        <v>234</v>
      </c>
      <c r="B1252" s="141">
        <f t="shared" si="19"/>
        <v>23.1</v>
      </c>
      <c r="C1252" s="280">
        <v>45782</v>
      </c>
      <c r="D1252" s="279">
        <v>45784</v>
      </c>
      <c r="E1252" s="279">
        <v>45784</v>
      </c>
      <c r="F1252" s="132"/>
      <c r="G1252" s="132" t="s">
        <v>1108</v>
      </c>
      <c r="H1252" s="132" t="s">
        <v>373</v>
      </c>
      <c r="I1252" s="132" t="s">
        <v>1100</v>
      </c>
      <c r="J1252" s="132" t="s">
        <v>3827</v>
      </c>
      <c r="K1252" s="132" t="s">
        <v>3828</v>
      </c>
      <c r="L1252" s="132" t="s">
        <v>3829</v>
      </c>
      <c r="M1252" s="132" t="s">
        <v>4019</v>
      </c>
      <c r="N1252" s="132" t="s">
        <v>1112</v>
      </c>
      <c r="O1252" s="132" t="s">
        <v>3391</v>
      </c>
      <c r="P1252" s="132" t="s">
        <v>4020</v>
      </c>
      <c r="Q1252" s="132" t="s">
        <v>4016</v>
      </c>
      <c r="R1252" s="132" t="s">
        <v>1108</v>
      </c>
    </row>
    <row r="1253" spans="1:18" x14ac:dyDescent="0.2">
      <c r="A1253" t="s">
        <v>234</v>
      </c>
      <c r="B1253" s="141">
        <f t="shared" si="19"/>
        <v>23.1</v>
      </c>
      <c r="C1253" s="280">
        <v>45782</v>
      </c>
      <c r="D1253" s="279">
        <v>45784</v>
      </c>
      <c r="E1253" s="279">
        <v>45784</v>
      </c>
      <c r="F1253" s="132"/>
      <c r="G1253" s="132" t="s">
        <v>1108</v>
      </c>
      <c r="H1253" s="132" t="s">
        <v>373</v>
      </c>
      <c r="I1253" s="132" t="s">
        <v>1100</v>
      </c>
      <c r="J1253" s="132" t="s">
        <v>3827</v>
      </c>
      <c r="K1253" s="132" t="s">
        <v>3828</v>
      </c>
      <c r="L1253" s="132" t="s">
        <v>3829</v>
      </c>
      <c r="M1253" s="132" t="s">
        <v>4021</v>
      </c>
      <c r="N1253" s="132" t="s">
        <v>1112</v>
      </c>
      <c r="O1253" s="132" t="s">
        <v>3391</v>
      </c>
      <c r="P1253" s="132" t="s">
        <v>4022</v>
      </c>
      <c r="Q1253" s="132" t="s">
        <v>4016</v>
      </c>
      <c r="R1253" s="132" t="s">
        <v>1108</v>
      </c>
    </row>
    <row r="1254" spans="1:18" x14ac:dyDescent="0.2">
      <c r="A1254" t="s">
        <v>234</v>
      </c>
      <c r="B1254" s="141">
        <f t="shared" si="19"/>
        <v>23.240000000000002</v>
      </c>
      <c r="C1254" s="280">
        <v>45783</v>
      </c>
      <c r="D1254" s="279">
        <v>45784</v>
      </c>
      <c r="E1254" s="279">
        <v>45784</v>
      </c>
      <c r="F1254" s="132"/>
      <c r="G1254" s="132" t="s">
        <v>1108</v>
      </c>
      <c r="H1254" s="132" t="s">
        <v>373</v>
      </c>
      <c r="I1254" s="132" t="s">
        <v>1100</v>
      </c>
      <c r="J1254" s="132" t="s">
        <v>3827</v>
      </c>
      <c r="K1254" s="132" t="s">
        <v>3834</v>
      </c>
      <c r="L1254" s="132" t="s">
        <v>3835</v>
      </c>
      <c r="M1254" s="132" t="s">
        <v>4023</v>
      </c>
      <c r="N1254" s="132" t="s">
        <v>1117</v>
      </c>
      <c r="O1254" s="132" t="s">
        <v>3391</v>
      </c>
      <c r="P1254" s="132" t="s">
        <v>4024</v>
      </c>
      <c r="Q1254" s="132" t="s">
        <v>4016</v>
      </c>
      <c r="R1254" s="132" t="s">
        <v>1108</v>
      </c>
    </row>
    <row r="1255" spans="1:18" x14ac:dyDescent="0.2">
      <c r="A1255" t="s">
        <v>235</v>
      </c>
      <c r="B1255" s="141">
        <f t="shared" si="19"/>
        <v>27.17</v>
      </c>
      <c r="C1255" s="280">
        <v>45783</v>
      </c>
      <c r="D1255" s="279">
        <v>45785</v>
      </c>
      <c r="E1255" s="279">
        <v>45785</v>
      </c>
      <c r="F1255" s="132"/>
      <c r="G1255" s="132" t="s">
        <v>1108</v>
      </c>
      <c r="H1255" s="132" t="s">
        <v>373</v>
      </c>
      <c r="I1255" s="132" t="s">
        <v>1100</v>
      </c>
      <c r="J1255" s="132" t="s">
        <v>3849</v>
      </c>
      <c r="K1255" s="132" t="s">
        <v>3850</v>
      </c>
      <c r="L1255" s="132" t="s">
        <v>3851</v>
      </c>
      <c r="M1255" s="132" t="s">
        <v>4025</v>
      </c>
      <c r="N1255" s="132" t="s">
        <v>1117</v>
      </c>
      <c r="O1255" s="132" t="s">
        <v>3391</v>
      </c>
      <c r="P1255" s="132" t="s">
        <v>4026</v>
      </c>
      <c r="Q1255" s="132" t="s">
        <v>4027</v>
      </c>
      <c r="R1255" s="132" t="s">
        <v>1108</v>
      </c>
    </row>
    <row r="1256" spans="1:18" x14ac:dyDescent="0.2">
      <c r="A1256" t="s">
        <v>234</v>
      </c>
      <c r="B1256" s="141">
        <f t="shared" si="19"/>
        <v>23.240000000000002</v>
      </c>
      <c r="C1256" s="280">
        <v>45783</v>
      </c>
      <c r="D1256" s="279">
        <v>45785</v>
      </c>
      <c r="E1256" s="279">
        <v>45785</v>
      </c>
      <c r="F1256" s="132"/>
      <c r="G1256" s="132" t="s">
        <v>4028</v>
      </c>
      <c r="H1256" s="132" t="s">
        <v>373</v>
      </c>
      <c r="I1256" s="132" t="s">
        <v>1100</v>
      </c>
      <c r="J1256" s="132" t="s">
        <v>3827</v>
      </c>
      <c r="K1256" s="132" t="s">
        <v>3834</v>
      </c>
      <c r="L1256" s="132" t="s">
        <v>3835</v>
      </c>
      <c r="M1256" s="132" t="s">
        <v>4029</v>
      </c>
      <c r="N1256" s="132" t="s">
        <v>1105</v>
      </c>
      <c r="O1256" s="132" t="s">
        <v>3391</v>
      </c>
      <c r="P1256" s="132" t="s">
        <v>4030</v>
      </c>
      <c r="Q1256" s="132" t="s">
        <v>4027</v>
      </c>
      <c r="R1256" s="132" t="s">
        <v>1108</v>
      </c>
    </row>
    <row r="1257" spans="1:18" x14ac:dyDescent="0.2">
      <c r="A1257" t="s">
        <v>235</v>
      </c>
      <c r="B1257" s="141">
        <f t="shared" si="19"/>
        <v>27.17</v>
      </c>
      <c r="C1257" s="280">
        <v>45783</v>
      </c>
      <c r="D1257" s="279">
        <v>45785</v>
      </c>
      <c r="E1257" s="279">
        <v>45785</v>
      </c>
      <c r="F1257" s="132"/>
      <c r="G1257" s="132" t="s">
        <v>1320</v>
      </c>
      <c r="H1257" s="132" t="s">
        <v>373</v>
      </c>
      <c r="I1257" s="132" t="s">
        <v>1100</v>
      </c>
      <c r="J1257" s="132" t="s">
        <v>3849</v>
      </c>
      <c r="K1257" s="132" t="s">
        <v>3850</v>
      </c>
      <c r="L1257" s="132" t="s">
        <v>3851</v>
      </c>
      <c r="M1257" s="132" t="s">
        <v>4031</v>
      </c>
      <c r="N1257" s="132" t="s">
        <v>1105</v>
      </c>
      <c r="O1257" s="132" t="s">
        <v>3391</v>
      </c>
      <c r="P1257" s="132" t="s">
        <v>4032</v>
      </c>
      <c r="Q1257" s="132" t="s">
        <v>4027</v>
      </c>
      <c r="R1257" s="132" t="s">
        <v>1108</v>
      </c>
    </row>
    <row r="1258" spans="1:18" x14ac:dyDescent="0.2">
      <c r="A1258" t="s">
        <v>234</v>
      </c>
      <c r="B1258" s="141">
        <f t="shared" si="19"/>
        <v>23.240000000000002</v>
      </c>
      <c r="C1258" s="280">
        <v>45783</v>
      </c>
      <c r="D1258" s="279">
        <v>45785</v>
      </c>
      <c r="E1258" s="279">
        <v>45785</v>
      </c>
      <c r="F1258" s="132"/>
      <c r="G1258" s="132" t="s">
        <v>1320</v>
      </c>
      <c r="H1258" s="132" t="s">
        <v>373</v>
      </c>
      <c r="I1258" s="132" t="s">
        <v>1100</v>
      </c>
      <c r="J1258" s="132" t="s">
        <v>3827</v>
      </c>
      <c r="K1258" s="132" t="s">
        <v>3834</v>
      </c>
      <c r="L1258" s="132" t="s">
        <v>3835</v>
      </c>
      <c r="M1258" s="132" t="s">
        <v>4033</v>
      </c>
      <c r="N1258" s="132" t="s">
        <v>1105</v>
      </c>
      <c r="O1258" s="132" t="s">
        <v>3391</v>
      </c>
      <c r="P1258" s="132" t="s">
        <v>4034</v>
      </c>
      <c r="Q1258" s="132" t="s">
        <v>4027</v>
      </c>
      <c r="R1258" s="132" t="s">
        <v>1108</v>
      </c>
    </row>
    <row r="1259" spans="1:18" x14ac:dyDescent="0.2">
      <c r="A1259" t="s">
        <v>234</v>
      </c>
      <c r="B1259" s="141">
        <f t="shared" si="19"/>
        <v>23.240000000000002</v>
      </c>
      <c r="C1259" s="280">
        <v>45783</v>
      </c>
      <c r="D1259" s="279">
        <v>45785</v>
      </c>
      <c r="E1259" s="279">
        <v>45785</v>
      </c>
      <c r="F1259" s="132"/>
      <c r="G1259" s="132" t="s">
        <v>4035</v>
      </c>
      <c r="H1259" s="132" t="s">
        <v>373</v>
      </c>
      <c r="I1259" s="132" t="s">
        <v>1100</v>
      </c>
      <c r="J1259" s="132" t="s">
        <v>3827</v>
      </c>
      <c r="K1259" s="132" t="s">
        <v>3834</v>
      </c>
      <c r="L1259" s="132" t="s">
        <v>3835</v>
      </c>
      <c r="M1259" s="132" t="s">
        <v>4036</v>
      </c>
      <c r="N1259" s="132" t="s">
        <v>1105</v>
      </c>
      <c r="O1259" s="132" t="s">
        <v>3391</v>
      </c>
      <c r="P1259" s="132" t="s">
        <v>4037</v>
      </c>
      <c r="Q1259" s="132" t="s">
        <v>4027</v>
      </c>
      <c r="R1259" s="132" t="s">
        <v>1108</v>
      </c>
    </row>
    <row r="1260" spans="1:18" x14ac:dyDescent="0.2">
      <c r="A1260" t="s">
        <v>235</v>
      </c>
      <c r="B1260" s="141">
        <f t="shared" si="19"/>
        <v>27.17</v>
      </c>
      <c r="C1260" s="280">
        <v>45783</v>
      </c>
      <c r="D1260" s="279">
        <v>45785</v>
      </c>
      <c r="E1260" s="279">
        <v>45785</v>
      </c>
      <c r="F1260" s="132"/>
      <c r="G1260" s="132" t="s">
        <v>1303</v>
      </c>
      <c r="H1260" s="132" t="s">
        <v>373</v>
      </c>
      <c r="I1260" s="132" t="s">
        <v>1100</v>
      </c>
      <c r="J1260" s="132" t="s">
        <v>3849</v>
      </c>
      <c r="K1260" s="132" t="s">
        <v>3850</v>
      </c>
      <c r="L1260" s="132" t="s">
        <v>3851</v>
      </c>
      <c r="M1260" s="132" t="s">
        <v>4038</v>
      </c>
      <c r="N1260" s="132" t="s">
        <v>1105</v>
      </c>
      <c r="O1260" s="132" t="s">
        <v>3391</v>
      </c>
      <c r="P1260" s="132" t="s">
        <v>4039</v>
      </c>
      <c r="Q1260" s="132" t="s">
        <v>4027</v>
      </c>
      <c r="R1260" s="132" t="s">
        <v>1108</v>
      </c>
    </row>
    <row r="1261" spans="1:18" x14ac:dyDescent="0.2">
      <c r="A1261" t="s">
        <v>235</v>
      </c>
      <c r="B1261" s="141">
        <f t="shared" si="19"/>
        <v>50.71</v>
      </c>
      <c r="C1261" s="280">
        <v>45783</v>
      </c>
      <c r="D1261" s="279">
        <v>45785</v>
      </c>
      <c r="E1261" s="279">
        <v>45785</v>
      </c>
      <c r="F1261" s="132"/>
      <c r="G1261" s="132" t="s">
        <v>1303</v>
      </c>
      <c r="H1261" s="132" t="s">
        <v>373</v>
      </c>
      <c r="I1261" s="132" t="s">
        <v>1100</v>
      </c>
      <c r="J1261" s="132" t="s">
        <v>3882</v>
      </c>
      <c r="K1261" s="132" t="s">
        <v>3943</v>
      </c>
      <c r="L1261" s="132" t="s">
        <v>3944</v>
      </c>
      <c r="M1261" s="132" t="s">
        <v>4040</v>
      </c>
      <c r="N1261" s="132" t="s">
        <v>1105</v>
      </c>
      <c r="O1261" s="132" t="s">
        <v>3391</v>
      </c>
      <c r="P1261" s="132" t="s">
        <v>4041</v>
      </c>
      <c r="Q1261" s="132" t="s">
        <v>4027</v>
      </c>
      <c r="R1261" s="132" t="s">
        <v>1108</v>
      </c>
    </row>
    <row r="1262" spans="1:18" x14ac:dyDescent="0.2">
      <c r="A1262" t="s">
        <v>234</v>
      </c>
      <c r="B1262" s="141">
        <f t="shared" si="19"/>
        <v>23.240000000000002</v>
      </c>
      <c r="C1262" s="280">
        <v>45783</v>
      </c>
      <c r="D1262" s="279">
        <v>45785</v>
      </c>
      <c r="E1262" s="279">
        <v>45785</v>
      </c>
      <c r="F1262" s="132"/>
      <c r="G1262" s="132" t="s">
        <v>1108</v>
      </c>
      <c r="H1262" s="132" t="s">
        <v>373</v>
      </c>
      <c r="I1262" s="132" t="s">
        <v>1100</v>
      </c>
      <c r="J1262" s="132" t="s">
        <v>3827</v>
      </c>
      <c r="K1262" s="132" t="s">
        <v>3834</v>
      </c>
      <c r="L1262" s="132" t="s">
        <v>3835</v>
      </c>
      <c r="M1262" s="132" t="s">
        <v>4042</v>
      </c>
      <c r="N1262" s="132" t="s">
        <v>1117</v>
      </c>
      <c r="O1262" s="132" t="s">
        <v>3391</v>
      </c>
      <c r="P1262" s="132" t="s">
        <v>4043</v>
      </c>
      <c r="Q1262" s="132" t="s">
        <v>4027</v>
      </c>
      <c r="R1262" s="132" t="s">
        <v>1108</v>
      </c>
    </row>
    <row r="1263" spans="1:18" x14ac:dyDescent="0.2">
      <c r="A1263" t="s">
        <v>235</v>
      </c>
      <c r="B1263" s="141">
        <f t="shared" si="19"/>
        <v>27.17</v>
      </c>
      <c r="C1263" s="280">
        <v>45783</v>
      </c>
      <c r="D1263" s="279">
        <v>45785</v>
      </c>
      <c r="E1263" s="279">
        <v>45785</v>
      </c>
      <c r="F1263" s="132"/>
      <c r="G1263" s="132" t="s">
        <v>1108</v>
      </c>
      <c r="H1263" s="132" t="s">
        <v>373</v>
      </c>
      <c r="I1263" s="132" t="s">
        <v>1100</v>
      </c>
      <c r="J1263" s="132" t="s">
        <v>3849</v>
      </c>
      <c r="K1263" s="132" t="s">
        <v>3850</v>
      </c>
      <c r="L1263" s="132" t="s">
        <v>3851</v>
      </c>
      <c r="M1263" s="132" t="s">
        <v>4044</v>
      </c>
      <c r="N1263" s="132" t="s">
        <v>1117</v>
      </c>
      <c r="O1263" s="132" t="s">
        <v>3391</v>
      </c>
      <c r="P1263" s="132" t="s">
        <v>4045</v>
      </c>
      <c r="Q1263" s="132" t="s">
        <v>4027</v>
      </c>
      <c r="R1263" s="132" t="s">
        <v>1108</v>
      </c>
    </row>
    <row r="1264" spans="1:18" x14ac:dyDescent="0.2">
      <c r="A1264" t="s">
        <v>234</v>
      </c>
      <c r="B1264" s="141">
        <f t="shared" si="19"/>
        <v>23.1</v>
      </c>
      <c r="C1264" s="280">
        <v>45783</v>
      </c>
      <c r="D1264" s="279">
        <v>45785</v>
      </c>
      <c r="E1264" s="279">
        <v>45785</v>
      </c>
      <c r="F1264" s="132"/>
      <c r="G1264" s="132" t="s">
        <v>1108</v>
      </c>
      <c r="H1264" s="132" t="s">
        <v>373</v>
      </c>
      <c r="I1264" s="132" t="s">
        <v>1100</v>
      </c>
      <c r="J1264" s="132" t="s">
        <v>3827</v>
      </c>
      <c r="K1264" s="132" t="s">
        <v>3828</v>
      </c>
      <c r="L1264" s="132" t="s">
        <v>3829</v>
      </c>
      <c r="M1264" s="132" t="s">
        <v>4046</v>
      </c>
      <c r="N1264" s="132" t="s">
        <v>1112</v>
      </c>
      <c r="O1264" s="132" t="s">
        <v>3391</v>
      </c>
      <c r="P1264" s="132" t="s">
        <v>4047</v>
      </c>
      <c r="Q1264" s="132" t="s">
        <v>4027</v>
      </c>
      <c r="R1264" s="132" t="s">
        <v>1108</v>
      </c>
    </row>
    <row r="1265" spans="1:18" x14ac:dyDescent="0.2">
      <c r="A1265" t="s">
        <v>234</v>
      </c>
      <c r="B1265" s="141">
        <f t="shared" si="19"/>
        <v>23.240000000000002</v>
      </c>
      <c r="C1265" s="280">
        <v>45783</v>
      </c>
      <c r="D1265" s="279">
        <v>45785</v>
      </c>
      <c r="E1265" s="279">
        <v>45785</v>
      </c>
      <c r="F1265" s="132"/>
      <c r="G1265" s="132" t="s">
        <v>1819</v>
      </c>
      <c r="H1265" s="132" t="s">
        <v>373</v>
      </c>
      <c r="I1265" s="132" t="s">
        <v>1100</v>
      </c>
      <c r="J1265" s="132" t="s">
        <v>3827</v>
      </c>
      <c r="K1265" s="132" t="s">
        <v>3834</v>
      </c>
      <c r="L1265" s="132" t="s">
        <v>3835</v>
      </c>
      <c r="M1265" s="132" t="s">
        <v>4048</v>
      </c>
      <c r="N1265" s="132" t="s">
        <v>1105</v>
      </c>
      <c r="O1265" s="132" t="s">
        <v>3391</v>
      </c>
      <c r="P1265" s="132" t="s">
        <v>4049</v>
      </c>
      <c r="Q1265" s="132" t="s">
        <v>4027</v>
      </c>
      <c r="R1265" s="132" t="s">
        <v>1108</v>
      </c>
    </row>
    <row r="1266" spans="1:18" x14ac:dyDescent="0.2">
      <c r="A1266" t="s">
        <v>234</v>
      </c>
      <c r="B1266" s="141">
        <f t="shared" si="19"/>
        <v>23.240000000000002</v>
      </c>
      <c r="C1266" s="280">
        <v>45783</v>
      </c>
      <c r="D1266" s="279">
        <v>45785</v>
      </c>
      <c r="E1266" s="279">
        <v>45785</v>
      </c>
      <c r="F1266" s="132"/>
      <c r="G1266" s="132" t="s">
        <v>1108</v>
      </c>
      <c r="H1266" s="132" t="s">
        <v>373</v>
      </c>
      <c r="I1266" s="132" t="s">
        <v>1100</v>
      </c>
      <c r="J1266" s="132" t="s">
        <v>3827</v>
      </c>
      <c r="K1266" s="132" t="s">
        <v>3834</v>
      </c>
      <c r="L1266" s="132" t="s">
        <v>3835</v>
      </c>
      <c r="M1266" s="132" t="s">
        <v>4050</v>
      </c>
      <c r="N1266" s="132" t="s">
        <v>1117</v>
      </c>
      <c r="O1266" s="132" t="s">
        <v>3391</v>
      </c>
      <c r="P1266" s="132" t="s">
        <v>4051</v>
      </c>
      <c r="Q1266" s="132" t="s">
        <v>4027</v>
      </c>
      <c r="R1266" s="132" t="s">
        <v>1108</v>
      </c>
    </row>
    <row r="1267" spans="1:18" x14ac:dyDescent="0.2">
      <c r="A1267" t="s">
        <v>234</v>
      </c>
      <c r="B1267" s="141">
        <f t="shared" si="19"/>
        <v>23.1</v>
      </c>
      <c r="C1267" s="280">
        <v>45783</v>
      </c>
      <c r="D1267" s="279">
        <v>45785</v>
      </c>
      <c r="E1267" s="279">
        <v>45785</v>
      </c>
      <c r="F1267" s="132"/>
      <c r="G1267" s="132" t="s">
        <v>1108</v>
      </c>
      <c r="H1267" s="132" t="s">
        <v>373</v>
      </c>
      <c r="I1267" s="132" t="s">
        <v>1100</v>
      </c>
      <c r="J1267" s="132" t="s">
        <v>3827</v>
      </c>
      <c r="K1267" s="132" t="s">
        <v>3828</v>
      </c>
      <c r="L1267" s="132" t="s">
        <v>3829</v>
      </c>
      <c r="M1267" s="132" t="s">
        <v>4052</v>
      </c>
      <c r="N1267" s="132" t="s">
        <v>1112</v>
      </c>
      <c r="O1267" s="132" t="s">
        <v>3391</v>
      </c>
      <c r="P1267" s="132" t="s">
        <v>4053</v>
      </c>
      <c r="Q1267" s="132" t="s">
        <v>4027</v>
      </c>
      <c r="R1267" s="132" t="s">
        <v>1108</v>
      </c>
    </row>
    <row r="1268" spans="1:18" x14ac:dyDescent="0.2">
      <c r="A1268" t="s">
        <v>235</v>
      </c>
      <c r="B1268" s="141">
        <f t="shared" si="19"/>
        <v>27.17</v>
      </c>
      <c r="C1268" s="280">
        <v>45783</v>
      </c>
      <c r="D1268" s="279">
        <v>45785</v>
      </c>
      <c r="E1268" s="279">
        <v>45785</v>
      </c>
      <c r="F1268" s="132"/>
      <c r="G1268" s="132" t="s">
        <v>4054</v>
      </c>
      <c r="H1268" s="132" t="s">
        <v>373</v>
      </c>
      <c r="I1268" s="132" t="s">
        <v>1100</v>
      </c>
      <c r="J1268" s="132" t="s">
        <v>3849</v>
      </c>
      <c r="K1268" s="132" t="s">
        <v>3850</v>
      </c>
      <c r="L1268" s="132" t="s">
        <v>3851</v>
      </c>
      <c r="M1268" s="132" t="s">
        <v>4055</v>
      </c>
      <c r="N1268" s="132" t="s">
        <v>1105</v>
      </c>
      <c r="O1268" s="132" t="s">
        <v>3391</v>
      </c>
      <c r="P1268" s="132" t="s">
        <v>4056</v>
      </c>
      <c r="Q1268" s="132" t="s">
        <v>4027</v>
      </c>
      <c r="R1268" s="132" t="s">
        <v>1108</v>
      </c>
    </row>
    <row r="1269" spans="1:18" x14ac:dyDescent="0.2">
      <c r="A1269" t="s">
        <v>235</v>
      </c>
      <c r="B1269" s="141">
        <f t="shared" si="19"/>
        <v>27</v>
      </c>
      <c r="C1269" s="280">
        <v>45783</v>
      </c>
      <c r="D1269" s="279">
        <v>45785</v>
      </c>
      <c r="E1269" s="279">
        <v>45785</v>
      </c>
      <c r="F1269" s="132"/>
      <c r="G1269" s="132" t="s">
        <v>1108</v>
      </c>
      <c r="H1269" s="132" t="s">
        <v>373</v>
      </c>
      <c r="I1269" s="132" t="s">
        <v>1100</v>
      </c>
      <c r="J1269" s="132" t="s">
        <v>3849</v>
      </c>
      <c r="K1269" s="132" t="s">
        <v>1714</v>
      </c>
      <c r="L1269" s="132" t="s">
        <v>4004</v>
      </c>
      <c r="M1269" s="132" t="s">
        <v>4057</v>
      </c>
      <c r="N1269" s="132" t="s">
        <v>1112</v>
      </c>
      <c r="O1269" s="132" t="s">
        <v>3391</v>
      </c>
      <c r="P1269" s="132" t="s">
        <v>4058</v>
      </c>
      <c r="Q1269" s="132" t="s">
        <v>4027</v>
      </c>
      <c r="R1269" s="132" t="s">
        <v>1108</v>
      </c>
    </row>
    <row r="1270" spans="1:18" x14ac:dyDescent="0.2">
      <c r="A1270" t="s">
        <v>234</v>
      </c>
      <c r="B1270" s="141">
        <f t="shared" si="19"/>
        <v>23.1</v>
      </c>
      <c r="C1270" s="280">
        <v>45783</v>
      </c>
      <c r="D1270" s="279">
        <v>45785</v>
      </c>
      <c r="E1270" s="279">
        <v>45785</v>
      </c>
      <c r="F1270" s="132"/>
      <c r="G1270" s="132" t="s">
        <v>1108</v>
      </c>
      <c r="H1270" s="132" t="s">
        <v>373</v>
      </c>
      <c r="I1270" s="132" t="s">
        <v>1100</v>
      </c>
      <c r="J1270" s="132" t="s">
        <v>3827</v>
      </c>
      <c r="K1270" s="132" t="s">
        <v>3828</v>
      </c>
      <c r="L1270" s="132" t="s">
        <v>3829</v>
      </c>
      <c r="M1270" s="132" t="s">
        <v>4059</v>
      </c>
      <c r="N1270" s="132" t="s">
        <v>1112</v>
      </c>
      <c r="O1270" s="132" t="s">
        <v>3391</v>
      </c>
      <c r="P1270" s="132" t="s">
        <v>4060</v>
      </c>
      <c r="Q1270" s="132" t="s">
        <v>4027</v>
      </c>
      <c r="R1270" s="132" t="s">
        <v>1108</v>
      </c>
    </row>
    <row r="1271" spans="1:18" x14ac:dyDescent="0.2">
      <c r="A1271" t="s">
        <v>235</v>
      </c>
      <c r="B1271" s="141">
        <f t="shared" ref="B1271:B1334" si="20">_xlfn.NUMBERVALUE(L1271)*0.01</f>
        <v>27.17</v>
      </c>
      <c r="C1271" s="280">
        <v>45783</v>
      </c>
      <c r="D1271" s="279">
        <v>45785</v>
      </c>
      <c r="E1271" s="279">
        <v>45785</v>
      </c>
      <c r="F1271" s="132"/>
      <c r="G1271" s="132" t="s">
        <v>1108</v>
      </c>
      <c r="H1271" s="132" t="s">
        <v>373</v>
      </c>
      <c r="I1271" s="132" t="s">
        <v>1100</v>
      </c>
      <c r="J1271" s="132" t="s">
        <v>3849</v>
      </c>
      <c r="K1271" s="132" t="s">
        <v>3850</v>
      </c>
      <c r="L1271" s="132" t="s">
        <v>3851</v>
      </c>
      <c r="M1271" s="132" t="s">
        <v>4061</v>
      </c>
      <c r="N1271" s="132" t="s">
        <v>1117</v>
      </c>
      <c r="O1271" s="132" t="s">
        <v>3391</v>
      </c>
      <c r="P1271" s="132" t="s">
        <v>4062</v>
      </c>
      <c r="Q1271" s="132" t="s">
        <v>4027</v>
      </c>
      <c r="R1271" s="132" t="s">
        <v>1108</v>
      </c>
    </row>
    <row r="1272" spans="1:18" x14ac:dyDescent="0.2">
      <c r="A1272" t="s">
        <v>235</v>
      </c>
      <c r="B1272" s="141">
        <f t="shared" si="20"/>
        <v>27</v>
      </c>
      <c r="C1272" s="280">
        <v>45783</v>
      </c>
      <c r="D1272" s="279">
        <v>45785</v>
      </c>
      <c r="E1272" s="279">
        <v>45785</v>
      </c>
      <c r="F1272" s="132"/>
      <c r="G1272" s="132" t="s">
        <v>1108</v>
      </c>
      <c r="H1272" s="132" t="s">
        <v>373</v>
      </c>
      <c r="I1272" s="132" t="s">
        <v>1100</v>
      </c>
      <c r="J1272" s="132" t="s">
        <v>3849</v>
      </c>
      <c r="K1272" s="132" t="s">
        <v>1714</v>
      </c>
      <c r="L1272" s="132" t="s">
        <v>4004</v>
      </c>
      <c r="M1272" s="132" t="s">
        <v>4063</v>
      </c>
      <c r="N1272" s="132" t="s">
        <v>1112</v>
      </c>
      <c r="O1272" s="132" t="s">
        <v>3391</v>
      </c>
      <c r="P1272" s="132" t="s">
        <v>4064</v>
      </c>
      <c r="Q1272" s="132" t="s">
        <v>4027</v>
      </c>
      <c r="R1272" s="132" t="s">
        <v>1108</v>
      </c>
    </row>
    <row r="1273" spans="1:18" x14ac:dyDescent="0.2">
      <c r="A1273" t="s">
        <v>235</v>
      </c>
      <c r="B1273" s="141">
        <f t="shared" si="20"/>
        <v>27.17</v>
      </c>
      <c r="C1273" s="280">
        <v>45783</v>
      </c>
      <c r="D1273" s="279">
        <v>45785</v>
      </c>
      <c r="E1273" s="279">
        <v>45785</v>
      </c>
      <c r="F1273" s="132"/>
      <c r="G1273" s="132" t="s">
        <v>3232</v>
      </c>
      <c r="H1273" s="132" t="s">
        <v>373</v>
      </c>
      <c r="I1273" s="132" t="s">
        <v>1100</v>
      </c>
      <c r="J1273" s="132" t="s">
        <v>3849</v>
      </c>
      <c r="K1273" s="132" t="s">
        <v>3850</v>
      </c>
      <c r="L1273" s="132" t="s">
        <v>3851</v>
      </c>
      <c r="M1273" s="132" t="s">
        <v>4065</v>
      </c>
      <c r="N1273" s="132" t="s">
        <v>1105</v>
      </c>
      <c r="O1273" s="132" t="s">
        <v>3391</v>
      </c>
      <c r="P1273" s="132" t="s">
        <v>4066</v>
      </c>
      <c r="Q1273" s="132" t="s">
        <v>4027</v>
      </c>
      <c r="R1273" s="132" t="s">
        <v>1108</v>
      </c>
    </row>
    <row r="1274" spans="1:18" x14ac:dyDescent="0.2">
      <c r="A1274" t="s">
        <v>235</v>
      </c>
      <c r="B1274" s="141">
        <f t="shared" si="20"/>
        <v>27.17</v>
      </c>
      <c r="C1274" s="280">
        <v>45783</v>
      </c>
      <c r="D1274" s="279">
        <v>45785</v>
      </c>
      <c r="E1274" s="279">
        <v>45785</v>
      </c>
      <c r="F1274" s="132"/>
      <c r="G1274" s="132" t="s">
        <v>1108</v>
      </c>
      <c r="H1274" s="132" t="s">
        <v>373</v>
      </c>
      <c r="I1274" s="132" t="s">
        <v>1100</v>
      </c>
      <c r="J1274" s="132" t="s">
        <v>3849</v>
      </c>
      <c r="K1274" s="132" t="s">
        <v>3850</v>
      </c>
      <c r="L1274" s="132" t="s">
        <v>3851</v>
      </c>
      <c r="M1274" s="132" t="s">
        <v>4067</v>
      </c>
      <c r="N1274" s="132" t="s">
        <v>1117</v>
      </c>
      <c r="O1274" s="132" t="s">
        <v>3391</v>
      </c>
      <c r="P1274" s="132" t="s">
        <v>4068</v>
      </c>
      <c r="Q1274" s="132" t="s">
        <v>4027</v>
      </c>
      <c r="R1274" s="132" t="s">
        <v>1108</v>
      </c>
    </row>
    <row r="1275" spans="1:18" x14ac:dyDescent="0.2">
      <c r="A1275" t="s">
        <v>234</v>
      </c>
      <c r="B1275" s="141">
        <f t="shared" si="20"/>
        <v>23.240000000000002</v>
      </c>
      <c r="C1275" s="280">
        <v>45784</v>
      </c>
      <c r="D1275" s="279">
        <v>45786</v>
      </c>
      <c r="E1275" s="279">
        <v>45786</v>
      </c>
      <c r="F1275" s="132"/>
      <c r="G1275" s="132" t="s">
        <v>1108</v>
      </c>
      <c r="H1275" s="132" t="s">
        <v>373</v>
      </c>
      <c r="I1275" s="132" t="s">
        <v>1100</v>
      </c>
      <c r="J1275" s="132" t="s">
        <v>3827</v>
      </c>
      <c r="K1275" s="132" t="s">
        <v>3834</v>
      </c>
      <c r="L1275" s="132" t="s">
        <v>3835</v>
      </c>
      <c r="M1275" s="132" t="s">
        <v>4069</v>
      </c>
      <c r="N1275" s="132" t="s">
        <v>1117</v>
      </c>
      <c r="O1275" s="132" t="s">
        <v>3391</v>
      </c>
      <c r="P1275" s="132" t="s">
        <v>4070</v>
      </c>
      <c r="Q1275" s="132" t="s">
        <v>4071</v>
      </c>
      <c r="R1275" s="132" t="s">
        <v>1108</v>
      </c>
    </row>
    <row r="1276" spans="1:18" x14ac:dyDescent="0.2">
      <c r="A1276" t="s">
        <v>234</v>
      </c>
      <c r="B1276" s="141">
        <f t="shared" si="20"/>
        <v>23.1</v>
      </c>
      <c r="C1276" s="280">
        <v>45784</v>
      </c>
      <c r="D1276" s="279">
        <v>45786</v>
      </c>
      <c r="E1276" s="279">
        <v>45786</v>
      </c>
      <c r="F1276" s="132"/>
      <c r="G1276" s="132" t="s">
        <v>1108</v>
      </c>
      <c r="H1276" s="132" t="s">
        <v>373</v>
      </c>
      <c r="I1276" s="132" t="s">
        <v>1100</v>
      </c>
      <c r="J1276" s="132" t="s">
        <v>3827</v>
      </c>
      <c r="K1276" s="132" t="s">
        <v>3828</v>
      </c>
      <c r="L1276" s="132" t="s">
        <v>3829</v>
      </c>
      <c r="M1276" s="132" t="s">
        <v>4072</v>
      </c>
      <c r="N1276" s="132" t="s">
        <v>1112</v>
      </c>
      <c r="O1276" s="132" t="s">
        <v>3391</v>
      </c>
      <c r="P1276" s="132" t="s">
        <v>4073</v>
      </c>
      <c r="Q1276" s="132" t="s">
        <v>4071</v>
      </c>
      <c r="R1276" s="132" t="s">
        <v>1108</v>
      </c>
    </row>
    <row r="1277" spans="1:18" x14ac:dyDescent="0.2">
      <c r="A1277" t="s">
        <v>235</v>
      </c>
      <c r="B1277" s="141">
        <f t="shared" si="20"/>
        <v>27.17</v>
      </c>
      <c r="C1277" s="280">
        <v>45784</v>
      </c>
      <c r="D1277" s="279">
        <v>45786</v>
      </c>
      <c r="E1277" s="279">
        <v>45786</v>
      </c>
      <c r="F1277" s="132"/>
      <c r="G1277" s="132" t="s">
        <v>3222</v>
      </c>
      <c r="H1277" s="132" t="s">
        <v>373</v>
      </c>
      <c r="I1277" s="132" t="s">
        <v>1100</v>
      </c>
      <c r="J1277" s="132" t="s">
        <v>3849</v>
      </c>
      <c r="K1277" s="132" t="s">
        <v>3850</v>
      </c>
      <c r="L1277" s="132" t="s">
        <v>3851</v>
      </c>
      <c r="M1277" s="132" t="s">
        <v>4074</v>
      </c>
      <c r="N1277" s="132" t="s">
        <v>1105</v>
      </c>
      <c r="O1277" s="132" t="s">
        <v>3391</v>
      </c>
      <c r="P1277" s="132" t="s">
        <v>4075</v>
      </c>
      <c r="Q1277" s="132" t="s">
        <v>4071</v>
      </c>
      <c r="R1277" s="132" t="s">
        <v>1108</v>
      </c>
    </row>
    <row r="1278" spans="1:18" x14ac:dyDescent="0.2">
      <c r="A1278" t="s">
        <v>234</v>
      </c>
      <c r="B1278" s="141">
        <f t="shared" si="20"/>
        <v>23.240000000000002</v>
      </c>
      <c r="C1278" s="280">
        <v>45784</v>
      </c>
      <c r="D1278" s="279">
        <v>45786</v>
      </c>
      <c r="E1278" s="279">
        <v>45786</v>
      </c>
      <c r="F1278" s="132"/>
      <c r="G1278" s="132" t="s">
        <v>1822</v>
      </c>
      <c r="H1278" s="132" t="s">
        <v>373</v>
      </c>
      <c r="I1278" s="132" t="s">
        <v>1100</v>
      </c>
      <c r="J1278" s="132" t="s">
        <v>3827</v>
      </c>
      <c r="K1278" s="132" t="s">
        <v>3834</v>
      </c>
      <c r="L1278" s="132" t="s">
        <v>3835</v>
      </c>
      <c r="M1278" s="132" t="s">
        <v>4076</v>
      </c>
      <c r="N1278" s="132" t="s">
        <v>1105</v>
      </c>
      <c r="O1278" s="132" t="s">
        <v>3391</v>
      </c>
      <c r="P1278" s="132" t="s">
        <v>4077</v>
      </c>
      <c r="Q1278" s="132" t="s">
        <v>4071</v>
      </c>
      <c r="R1278" s="132" t="s">
        <v>1108</v>
      </c>
    </row>
    <row r="1279" spans="1:18" x14ac:dyDescent="0.2">
      <c r="A1279" t="s">
        <v>234</v>
      </c>
      <c r="B1279" s="141">
        <f t="shared" si="20"/>
        <v>23.1</v>
      </c>
      <c r="C1279" s="280">
        <v>45784</v>
      </c>
      <c r="D1279" s="279">
        <v>45786</v>
      </c>
      <c r="E1279" s="279">
        <v>45786</v>
      </c>
      <c r="F1279" s="132"/>
      <c r="G1279" s="132" t="s">
        <v>1108</v>
      </c>
      <c r="H1279" s="132" t="s">
        <v>373</v>
      </c>
      <c r="I1279" s="132" t="s">
        <v>1100</v>
      </c>
      <c r="J1279" s="132" t="s">
        <v>3827</v>
      </c>
      <c r="K1279" s="132" t="s">
        <v>3828</v>
      </c>
      <c r="L1279" s="132" t="s">
        <v>3829</v>
      </c>
      <c r="M1279" s="132" t="s">
        <v>4078</v>
      </c>
      <c r="N1279" s="132" t="s">
        <v>1112</v>
      </c>
      <c r="O1279" s="132" t="s">
        <v>3391</v>
      </c>
      <c r="P1279" s="132" t="s">
        <v>4079</v>
      </c>
      <c r="Q1279" s="132" t="s">
        <v>4071</v>
      </c>
      <c r="R1279" s="132" t="s">
        <v>1108</v>
      </c>
    </row>
    <row r="1280" spans="1:18" x14ac:dyDescent="0.2">
      <c r="A1280" t="s">
        <v>234</v>
      </c>
      <c r="B1280" s="141">
        <f t="shared" si="20"/>
        <v>23.240000000000002</v>
      </c>
      <c r="C1280" s="280">
        <v>45784</v>
      </c>
      <c r="D1280" s="279">
        <v>45786</v>
      </c>
      <c r="E1280" s="279">
        <v>45786</v>
      </c>
      <c r="F1280" s="132"/>
      <c r="G1280" s="132" t="s">
        <v>1108</v>
      </c>
      <c r="H1280" s="132" t="s">
        <v>373</v>
      </c>
      <c r="I1280" s="132" t="s">
        <v>1100</v>
      </c>
      <c r="J1280" s="132" t="s">
        <v>3827</v>
      </c>
      <c r="K1280" s="132" t="s">
        <v>3834</v>
      </c>
      <c r="L1280" s="132" t="s">
        <v>3835</v>
      </c>
      <c r="M1280" s="132" t="s">
        <v>4080</v>
      </c>
      <c r="N1280" s="132" t="s">
        <v>1117</v>
      </c>
      <c r="O1280" s="132" t="s">
        <v>3391</v>
      </c>
      <c r="P1280" s="132" t="s">
        <v>4081</v>
      </c>
      <c r="Q1280" s="132" t="s">
        <v>4071</v>
      </c>
      <c r="R1280" s="132" t="s">
        <v>1108</v>
      </c>
    </row>
    <row r="1281" spans="1:18" x14ac:dyDescent="0.2">
      <c r="A1281" t="s">
        <v>234</v>
      </c>
      <c r="B1281" s="141">
        <f t="shared" si="20"/>
        <v>23.1</v>
      </c>
      <c r="C1281" s="280">
        <v>45784</v>
      </c>
      <c r="D1281" s="279">
        <v>45786</v>
      </c>
      <c r="E1281" s="279">
        <v>45786</v>
      </c>
      <c r="F1281" s="132"/>
      <c r="G1281" s="132" t="s">
        <v>1108</v>
      </c>
      <c r="H1281" s="132" t="s">
        <v>373</v>
      </c>
      <c r="I1281" s="132" t="s">
        <v>1100</v>
      </c>
      <c r="J1281" s="132" t="s">
        <v>3827</v>
      </c>
      <c r="K1281" s="132" t="s">
        <v>3828</v>
      </c>
      <c r="L1281" s="132" t="s">
        <v>3829</v>
      </c>
      <c r="M1281" s="132" t="s">
        <v>4082</v>
      </c>
      <c r="N1281" s="132" t="s">
        <v>1112</v>
      </c>
      <c r="O1281" s="132" t="s">
        <v>3391</v>
      </c>
      <c r="P1281" s="132" t="s">
        <v>4083</v>
      </c>
      <c r="Q1281" s="132" t="s">
        <v>4071</v>
      </c>
      <c r="R1281" s="132" t="s">
        <v>1108</v>
      </c>
    </row>
    <row r="1282" spans="1:18" x14ac:dyDescent="0.2">
      <c r="A1282" t="s">
        <v>234</v>
      </c>
      <c r="B1282" s="141">
        <f t="shared" si="20"/>
        <v>23.240000000000002</v>
      </c>
      <c r="C1282" s="280">
        <v>45784</v>
      </c>
      <c r="D1282" s="279">
        <v>45786</v>
      </c>
      <c r="E1282" s="279">
        <v>45786</v>
      </c>
      <c r="F1282" s="132"/>
      <c r="G1282" s="132" t="s">
        <v>1108</v>
      </c>
      <c r="H1282" s="132" t="s">
        <v>373</v>
      </c>
      <c r="I1282" s="132" t="s">
        <v>1100</v>
      </c>
      <c r="J1282" s="132" t="s">
        <v>3827</v>
      </c>
      <c r="K1282" s="132" t="s">
        <v>3834</v>
      </c>
      <c r="L1282" s="132" t="s">
        <v>3835</v>
      </c>
      <c r="M1282" s="132" t="s">
        <v>4084</v>
      </c>
      <c r="N1282" s="132" t="s">
        <v>1117</v>
      </c>
      <c r="O1282" s="132" t="s">
        <v>3391</v>
      </c>
      <c r="P1282" s="132" t="s">
        <v>4085</v>
      </c>
      <c r="Q1282" s="132" t="s">
        <v>4071</v>
      </c>
      <c r="R1282" s="132" t="s">
        <v>1108</v>
      </c>
    </row>
    <row r="1283" spans="1:18" x14ac:dyDescent="0.2">
      <c r="A1283" t="s">
        <v>234</v>
      </c>
      <c r="B1283" s="141">
        <f t="shared" si="20"/>
        <v>23.1</v>
      </c>
      <c r="C1283" s="280">
        <v>45784</v>
      </c>
      <c r="D1283" s="279">
        <v>45786</v>
      </c>
      <c r="E1283" s="279">
        <v>45786</v>
      </c>
      <c r="F1283" s="132"/>
      <c r="G1283" s="132" t="s">
        <v>1108</v>
      </c>
      <c r="H1283" s="132" t="s">
        <v>373</v>
      </c>
      <c r="I1283" s="132" t="s">
        <v>1100</v>
      </c>
      <c r="J1283" s="132" t="s">
        <v>3827</v>
      </c>
      <c r="K1283" s="132" t="s">
        <v>3828</v>
      </c>
      <c r="L1283" s="132" t="s">
        <v>3829</v>
      </c>
      <c r="M1283" s="132" t="s">
        <v>4086</v>
      </c>
      <c r="N1283" s="132" t="s">
        <v>1112</v>
      </c>
      <c r="O1283" s="132" t="s">
        <v>3391</v>
      </c>
      <c r="P1283" s="132" t="s">
        <v>4087</v>
      </c>
      <c r="Q1283" s="132" t="s">
        <v>4071</v>
      </c>
      <c r="R1283" s="132" t="s">
        <v>1108</v>
      </c>
    </row>
    <row r="1284" spans="1:18" x14ac:dyDescent="0.2">
      <c r="A1284" t="s">
        <v>234</v>
      </c>
      <c r="B1284" s="141">
        <f t="shared" si="20"/>
        <v>23.1</v>
      </c>
      <c r="C1284" s="280">
        <v>45784</v>
      </c>
      <c r="D1284" s="279">
        <v>45786</v>
      </c>
      <c r="E1284" s="279">
        <v>45786</v>
      </c>
      <c r="F1284" s="132"/>
      <c r="G1284" s="132" t="s">
        <v>1108</v>
      </c>
      <c r="H1284" s="132" t="s">
        <v>373</v>
      </c>
      <c r="I1284" s="132" t="s">
        <v>1100</v>
      </c>
      <c r="J1284" s="132" t="s">
        <v>3827</v>
      </c>
      <c r="K1284" s="132" t="s">
        <v>3828</v>
      </c>
      <c r="L1284" s="132" t="s">
        <v>3829</v>
      </c>
      <c r="M1284" s="132" t="s">
        <v>4088</v>
      </c>
      <c r="N1284" s="132" t="s">
        <v>1112</v>
      </c>
      <c r="O1284" s="132" t="s">
        <v>3391</v>
      </c>
      <c r="P1284" s="132" t="s">
        <v>4089</v>
      </c>
      <c r="Q1284" s="132" t="s">
        <v>4071</v>
      </c>
      <c r="R1284" s="132" t="s">
        <v>1108</v>
      </c>
    </row>
    <row r="1285" spans="1:18" x14ac:dyDescent="0.2">
      <c r="A1285" t="s">
        <v>235</v>
      </c>
      <c r="B1285" s="141">
        <f t="shared" si="20"/>
        <v>27</v>
      </c>
      <c r="C1285" s="280">
        <v>45784</v>
      </c>
      <c r="D1285" s="279">
        <v>45786</v>
      </c>
      <c r="E1285" s="279">
        <v>45786</v>
      </c>
      <c r="F1285" s="132"/>
      <c r="G1285" s="132" t="s">
        <v>1108</v>
      </c>
      <c r="H1285" s="132" t="s">
        <v>373</v>
      </c>
      <c r="I1285" s="132" t="s">
        <v>1100</v>
      </c>
      <c r="J1285" s="132" t="s">
        <v>3849</v>
      </c>
      <c r="K1285" s="132" t="s">
        <v>1714</v>
      </c>
      <c r="L1285" s="132" t="s">
        <v>4004</v>
      </c>
      <c r="M1285" s="132" t="s">
        <v>4090</v>
      </c>
      <c r="N1285" s="132" t="s">
        <v>1112</v>
      </c>
      <c r="O1285" s="132" t="s">
        <v>3391</v>
      </c>
      <c r="P1285" s="132" t="s">
        <v>4091</v>
      </c>
      <c r="Q1285" s="132" t="s">
        <v>4071</v>
      </c>
      <c r="R1285" s="132" t="s">
        <v>1108</v>
      </c>
    </row>
    <row r="1286" spans="1:18" x14ac:dyDescent="0.2">
      <c r="A1286" t="s">
        <v>234</v>
      </c>
      <c r="B1286" s="141">
        <f t="shared" si="20"/>
        <v>23.1</v>
      </c>
      <c r="C1286" s="280">
        <v>45784</v>
      </c>
      <c r="D1286" s="279">
        <v>45786</v>
      </c>
      <c r="E1286" s="279">
        <v>45786</v>
      </c>
      <c r="F1286" s="132"/>
      <c r="G1286" s="132" t="s">
        <v>1108</v>
      </c>
      <c r="H1286" s="132" t="s">
        <v>373</v>
      </c>
      <c r="I1286" s="132" t="s">
        <v>1100</v>
      </c>
      <c r="J1286" s="132" t="s">
        <v>3827</v>
      </c>
      <c r="K1286" s="132" t="s">
        <v>3828</v>
      </c>
      <c r="L1286" s="132" t="s">
        <v>3829</v>
      </c>
      <c r="M1286" s="132" t="s">
        <v>4092</v>
      </c>
      <c r="N1286" s="132" t="s">
        <v>1112</v>
      </c>
      <c r="O1286" s="132" t="s">
        <v>3391</v>
      </c>
      <c r="P1286" s="132" t="s">
        <v>4093</v>
      </c>
      <c r="Q1286" s="132" t="s">
        <v>4071</v>
      </c>
      <c r="R1286" s="132" t="s">
        <v>1108</v>
      </c>
    </row>
    <row r="1287" spans="1:18" x14ac:dyDescent="0.2">
      <c r="A1287" t="s">
        <v>266</v>
      </c>
      <c r="B1287" s="141">
        <f t="shared" si="20"/>
        <v>4.6000000000000005</v>
      </c>
      <c r="C1287" s="280">
        <v>45784</v>
      </c>
      <c r="D1287" s="279">
        <v>45786</v>
      </c>
      <c r="E1287" s="279">
        <v>45786</v>
      </c>
      <c r="F1287" s="132"/>
      <c r="G1287" s="132" t="s">
        <v>4094</v>
      </c>
      <c r="H1287" s="132" t="s">
        <v>373</v>
      </c>
      <c r="I1287" s="132" t="s">
        <v>1100</v>
      </c>
      <c r="J1287" s="132" t="s">
        <v>2671</v>
      </c>
      <c r="K1287" s="132" t="s">
        <v>2672</v>
      </c>
      <c r="L1287" s="132" t="s">
        <v>2673</v>
      </c>
      <c r="M1287" s="132" t="s">
        <v>4095</v>
      </c>
      <c r="N1287" s="132" t="s">
        <v>1105</v>
      </c>
      <c r="O1287" s="132" t="s">
        <v>3391</v>
      </c>
      <c r="P1287" s="132" t="s">
        <v>4096</v>
      </c>
      <c r="Q1287" s="132" t="s">
        <v>4071</v>
      </c>
      <c r="R1287" s="132" t="s">
        <v>1108</v>
      </c>
    </row>
    <row r="1288" spans="1:18" x14ac:dyDescent="0.2">
      <c r="A1288" t="s">
        <v>235</v>
      </c>
      <c r="B1288" s="141">
        <f t="shared" si="20"/>
        <v>50.71</v>
      </c>
      <c r="C1288" s="280">
        <v>45784</v>
      </c>
      <c r="D1288" s="279">
        <v>45786</v>
      </c>
      <c r="E1288" s="279">
        <v>45786</v>
      </c>
      <c r="F1288" s="132"/>
      <c r="G1288" s="132" t="s">
        <v>3624</v>
      </c>
      <c r="H1288" s="132" t="s">
        <v>373</v>
      </c>
      <c r="I1288" s="132" t="s">
        <v>1100</v>
      </c>
      <c r="J1288" s="132" t="s">
        <v>3882</v>
      </c>
      <c r="K1288" s="132" t="s">
        <v>3943</v>
      </c>
      <c r="L1288" s="132" t="s">
        <v>3944</v>
      </c>
      <c r="M1288" s="132" t="s">
        <v>4097</v>
      </c>
      <c r="N1288" s="132" t="s">
        <v>1105</v>
      </c>
      <c r="O1288" s="132" t="s">
        <v>3391</v>
      </c>
      <c r="P1288" s="132" t="s">
        <v>4098</v>
      </c>
      <c r="Q1288" s="132" t="s">
        <v>4071</v>
      </c>
      <c r="R1288" s="132" t="s">
        <v>1108</v>
      </c>
    </row>
    <row r="1289" spans="1:18" x14ac:dyDescent="0.2">
      <c r="A1289" t="s">
        <v>234</v>
      </c>
      <c r="B1289" s="141">
        <f t="shared" si="20"/>
        <v>23.240000000000002</v>
      </c>
      <c r="C1289" s="280">
        <v>45784</v>
      </c>
      <c r="D1289" s="279">
        <v>45786</v>
      </c>
      <c r="E1289" s="279">
        <v>45786</v>
      </c>
      <c r="F1289" s="132"/>
      <c r="G1289" s="132" t="s">
        <v>1108</v>
      </c>
      <c r="H1289" s="132" t="s">
        <v>373</v>
      </c>
      <c r="I1289" s="132" t="s">
        <v>1100</v>
      </c>
      <c r="J1289" s="132" t="s">
        <v>3827</v>
      </c>
      <c r="K1289" s="132" t="s">
        <v>3834</v>
      </c>
      <c r="L1289" s="132" t="s">
        <v>3835</v>
      </c>
      <c r="M1289" s="132" t="s">
        <v>4099</v>
      </c>
      <c r="N1289" s="132" t="s">
        <v>1117</v>
      </c>
      <c r="O1289" s="132" t="s">
        <v>3391</v>
      </c>
      <c r="P1289" s="132" t="s">
        <v>4100</v>
      </c>
      <c r="Q1289" s="132" t="s">
        <v>4071</v>
      </c>
      <c r="R1289" s="132" t="s">
        <v>1108</v>
      </c>
    </row>
    <row r="1290" spans="1:18" x14ac:dyDescent="0.2">
      <c r="A1290" t="s">
        <v>235</v>
      </c>
      <c r="B1290" s="141">
        <f t="shared" si="20"/>
        <v>27</v>
      </c>
      <c r="C1290" s="280">
        <v>45784</v>
      </c>
      <c r="D1290" s="279">
        <v>45786</v>
      </c>
      <c r="E1290" s="279">
        <v>45786</v>
      </c>
      <c r="F1290" s="132"/>
      <c r="G1290" s="132" t="s">
        <v>1108</v>
      </c>
      <c r="H1290" s="132" t="s">
        <v>373</v>
      </c>
      <c r="I1290" s="132" t="s">
        <v>1100</v>
      </c>
      <c r="J1290" s="132" t="s">
        <v>3849</v>
      </c>
      <c r="K1290" s="132" t="s">
        <v>1714</v>
      </c>
      <c r="L1290" s="132" t="s">
        <v>4004</v>
      </c>
      <c r="M1290" s="132" t="s">
        <v>4101</v>
      </c>
      <c r="N1290" s="132" t="s">
        <v>1112</v>
      </c>
      <c r="O1290" s="132" t="s">
        <v>3391</v>
      </c>
      <c r="P1290" s="132" t="s">
        <v>4102</v>
      </c>
      <c r="Q1290" s="132" t="s">
        <v>4071</v>
      </c>
      <c r="R1290" s="132" t="s">
        <v>1108</v>
      </c>
    </row>
    <row r="1291" spans="1:18" x14ac:dyDescent="0.2">
      <c r="A1291" t="s">
        <v>265</v>
      </c>
      <c r="B1291" s="141">
        <f t="shared" si="20"/>
        <v>2.64</v>
      </c>
      <c r="C1291" s="280">
        <v>45784</v>
      </c>
      <c r="D1291" s="279">
        <v>45786</v>
      </c>
      <c r="E1291" s="279">
        <v>45786</v>
      </c>
      <c r="F1291" s="132"/>
      <c r="G1291" s="132" t="s">
        <v>1108</v>
      </c>
      <c r="H1291" s="132" t="s">
        <v>373</v>
      </c>
      <c r="I1291" s="132" t="s">
        <v>1100</v>
      </c>
      <c r="J1291" s="132" t="s">
        <v>3022</v>
      </c>
      <c r="K1291" s="132" t="s">
        <v>3023</v>
      </c>
      <c r="L1291" s="132" t="s">
        <v>3024</v>
      </c>
      <c r="M1291" s="132" t="s">
        <v>4103</v>
      </c>
      <c r="N1291" s="132" t="s">
        <v>1117</v>
      </c>
      <c r="O1291" s="132" t="s">
        <v>3391</v>
      </c>
      <c r="P1291" s="132" t="s">
        <v>4104</v>
      </c>
      <c r="Q1291" s="132" t="s">
        <v>4071</v>
      </c>
      <c r="R1291" s="132" t="s">
        <v>1108</v>
      </c>
    </row>
    <row r="1292" spans="1:18" x14ac:dyDescent="0.2">
      <c r="A1292" t="s">
        <v>265</v>
      </c>
      <c r="B1292" s="141">
        <f t="shared" si="20"/>
        <v>2.64</v>
      </c>
      <c r="C1292" s="280">
        <v>45784</v>
      </c>
      <c r="D1292" s="279">
        <v>45786</v>
      </c>
      <c r="E1292" s="279">
        <v>45786</v>
      </c>
      <c r="F1292" s="132"/>
      <c r="G1292" s="132" t="s">
        <v>1108</v>
      </c>
      <c r="H1292" s="132" t="s">
        <v>373</v>
      </c>
      <c r="I1292" s="132" t="s">
        <v>1100</v>
      </c>
      <c r="J1292" s="132" t="s">
        <v>3022</v>
      </c>
      <c r="K1292" s="132" t="s">
        <v>3023</v>
      </c>
      <c r="L1292" s="132" t="s">
        <v>3024</v>
      </c>
      <c r="M1292" s="132" t="s">
        <v>4105</v>
      </c>
      <c r="N1292" s="132" t="s">
        <v>1117</v>
      </c>
      <c r="O1292" s="132" t="s">
        <v>3391</v>
      </c>
      <c r="P1292" s="132" t="s">
        <v>4106</v>
      </c>
      <c r="Q1292" s="132" t="s">
        <v>4071</v>
      </c>
      <c r="R1292" s="132" t="s">
        <v>1108</v>
      </c>
    </row>
    <row r="1293" spans="1:18" x14ac:dyDescent="0.2">
      <c r="A1293" t="s">
        <v>235</v>
      </c>
      <c r="B1293" s="141">
        <f t="shared" si="20"/>
        <v>27.17</v>
      </c>
      <c r="C1293" s="280">
        <v>45784</v>
      </c>
      <c r="D1293" s="279">
        <v>45786</v>
      </c>
      <c r="E1293" s="279">
        <v>45786</v>
      </c>
      <c r="F1293" s="132"/>
      <c r="G1293" s="132" t="s">
        <v>1108</v>
      </c>
      <c r="H1293" s="132" t="s">
        <v>373</v>
      </c>
      <c r="I1293" s="132" t="s">
        <v>1100</v>
      </c>
      <c r="J1293" s="132" t="s">
        <v>3849</v>
      </c>
      <c r="K1293" s="132" t="s">
        <v>3850</v>
      </c>
      <c r="L1293" s="132" t="s">
        <v>3851</v>
      </c>
      <c r="M1293" s="132" t="s">
        <v>4107</v>
      </c>
      <c r="N1293" s="132" t="s">
        <v>1117</v>
      </c>
      <c r="O1293" s="132" t="s">
        <v>3391</v>
      </c>
      <c r="P1293" s="132" t="s">
        <v>4108</v>
      </c>
      <c r="Q1293" s="132" t="s">
        <v>4071</v>
      </c>
      <c r="R1293" s="132" t="s">
        <v>1108</v>
      </c>
    </row>
    <row r="1294" spans="1:18" x14ac:dyDescent="0.2">
      <c r="A1294" t="s">
        <v>265</v>
      </c>
      <c r="B1294" s="141">
        <f t="shared" si="20"/>
        <v>2.62</v>
      </c>
      <c r="C1294" s="280">
        <v>45784</v>
      </c>
      <c r="D1294" s="279">
        <v>45786</v>
      </c>
      <c r="E1294" s="279">
        <v>45786</v>
      </c>
      <c r="F1294" s="132"/>
      <c r="G1294" s="132" t="s">
        <v>1108</v>
      </c>
      <c r="H1294" s="132" t="s">
        <v>373</v>
      </c>
      <c r="I1294" s="132" t="s">
        <v>1100</v>
      </c>
      <c r="J1294" s="132" t="s">
        <v>3022</v>
      </c>
      <c r="K1294" s="132" t="s">
        <v>1742</v>
      </c>
      <c r="L1294" s="132" t="s">
        <v>3029</v>
      </c>
      <c r="M1294" s="132" t="s">
        <v>4109</v>
      </c>
      <c r="N1294" s="132" t="s">
        <v>1112</v>
      </c>
      <c r="O1294" s="132" t="s">
        <v>3391</v>
      </c>
      <c r="P1294" s="132" t="s">
        <v>4110</v>
      </c>
      <c r="Q1294" s="132" t="s">
        <v>4071</v>
      </c>
      <c r="R1294" s="132" t="s">
        <v>1108</v>
      </c>
    </row>
    <row r="1295" spans="1:18" x14ac:dyDescent="0.2">
      <c r="A1295" t="s">
        <v>265</v>
      </c>
      <c r="B1295" s="141">
        <f t="shared" si="20"/>
        <v>2.62</v>
      </c>
      <c r="C1295" s="280">
        <v>45784</v>
      </c>
      <c r="D1295" s="279">
        <v>45786</v>
      </c>
      <c r="E1295" s="279">
        <v>45786</v>
      </c>
      <c r="F1295" s="132"/>
      <c r="G1295" s="132" t="s">
        <v>1108</v>
      </c>
      <c r="H1295" s="132" t="s">
        <v>373</v>
      </c>
      <c r="I1295" s="132" t="s">
        <v>1100</v>
      </c>
      <c r="J1295" s="132" t="s">
        <v>3022</v>
      </c>
      <c r="K1295" s="132" t="s">
        <v>1742</v>
      </c>
      <c r="L1295" s="132" t="s">
        <v>3029</v>
      </c>
      <c r="M1295" s="132" t="s">
        <v>4111</v>
      </c>
      <c r="N1295" s="132" t="s">
        <v>1112</v>
      </c>
      <c r="O1295" s="132" t="s">
        <v>3391</v>
      </c>
      <c r="P1295" s="132" t="s">
        <v>4112</v>
      </c>
      <c r="Q1295" s="132" t="s">
        <v>4071</v>
      </c>
      <c r="R1295" s="132" t="s">
        <v>1108</v>
      </c>
    </row>
    <row r="1296" spans="1:18" x14ac:dyDescent="0.2">
      <c r="A1296" t="s">
        <v>234</v>
      </c>
      <c r="B1296" s="141">
        <f t="shared" si="20"/>
        <v>23.240000000000002</v>
      </c>
      <c r="C1296" s="280">
        <v>45784</v>
      </c>
      <c r="D1296" s="279">
        <v>45786</v>
      </c>
      <c r="E1296" s="279">
        <v>45786</v>
      </c>
      <c r="F1296" s="132"/>
      <c r="G1296" s="132" t="s">
        <v>4113</v>
      </c>
      <c r="H1296" s="132" t="s">
        <v>373</v>
      </c>
      <c r="I1296" s="132" t="s">
        <v>1100</v>
      </c>
      <c r="J1296" s="132" t="s">
        <v>3827</v>
      </c>
      <c r="K1296" s="132" t="s">
        <v>3834</v>
      </c>
      <c r="L1296" s="132" t="s">
        <v>3835</v>
      </c>
      <c r="M1296" s="132" t="s">
        <v>4114</v>
      </c>
      <c r="N1296" s="132" t="s">
        <v>1105</v>
      </c>
      <c r="O1296" s="132" t="s">
        <v>3391</v>
      </c>
      <c r="P1296" s="132" t="s">
        <v>4115</v>
      </c>
      <c r="Q1296" s="132" t="s">
        <v>4071</v>
      </c>
      <c r="R1296" s="132" t="s">
        <v>1108</v>
      </c>
    </row>
    <row r="1297" spans="1:18" x14ac:dyDescent="0.2">
      <c r="A1297" t="s">
        <v>234</v>
      </c>
      <c r="B1297" s="141">
        <f t="shared" si="20"/>
        <v>23.240000000000002</v>
      </c>
      <c r="C1297" s="280">
        <v>45784</v>
      </c>
      <c r="D1297" s="279">
        <v>45786</v>
      </c>
      <c r="E1297" s="279">
        <v>45786</v>
      </c>
      <c r="F1297" s="132"/>
      <c r="G1297" s="132" t="s">
        <v>1108</v>
      </c>
      <c r="H1297" s="132" t="s">
        <v>373</v>
      </c>
      <c r="I1297" s="132" t="s">
        <v>1100</v>
      </c>
      <c r="J1297" s="132" t="s">
        <v>3827</v>
      </c>
      <c r="K1297" s="132" t="s">
        <v>3834</v>
      </c>
      <c r="L1297" s="132" t="s">
        <v>3835</v>
      </c>
      <c r="M1297" s="132" t="s">
        <v>4116</v>
      </c>
      <c r="N1297" s="132" t="s">
        <v>1117</v>
      </c>
      <c r="O1297" s="132" t="s">
        <v>3391</v>
      </c>
      <c r="P1297" s="132" t="s">
        <v>4117</v>
      </c>
      <c r="Q1297" s="132" t="s">
        <v>4071</v>
      </c>
      <c r="R1297" s="132" t="s">
        <v>1108</v>
      </c>
    </row>
    <row r="1298" spans="1:18" x14ac:dyDescent="0.2">
      <c r="A1298" t="s">
        <v>266</v>
      </c>
      <c r="B1298" s="141">
        <f t="shared" si="20"/>
        <v>4.57</v>
      </c>
      <c r="C1298" s="280">
        <v>45784</v>
      </c>
      <c r="D1298" s="279">
        <v>45786</v>
      </c>
      <c r="E1298" s="279">
        <v>45786</v>
      </c>
      <c r="F1298" s="132"/>
      <c r="G1298" s="132" t="s">
        <v>1108</v>
      </c>
      <c r="H1298" s="132" t="s">
        <v>373</v>
      </c>
      <c r="I1298" s="132" t="s">
        <v>1100</v>
      </c>
      <c r="J1298" s="132" t="s">
        <v>2671</v>
      </c>
      <c r="K1298" s="132" t="s">
        <v>1927</v>
      </c>
      <c r="L1298" s="132" t="s">
        <v>2740</v>
      </c>
      <c r="M1298" s="132" t="s">
        <v>4118</v>
      </c>
      <c r="N1298" s="132" t="s">
        <v>1112</v>
      </c>
      <c r="O1298" s="132" t="s">
        <v>3391</v>
      </c>
      <c r="P1298" s="132" t="s">
        <v>4119</v>
      </c>
      <c r="Q1298" s="132" t="s">
        <v>4071</v>
      </c>
      <c r="R1298" s="132" t="s">
        <v>1108</v>
      </c>
    </row>
    <row r="1299" spans="1:18" x14ac:dyDescent="0.2">
      <c r="A1299" t="s">
        <v>234</v>
      </c>
      <c r="B1299" s="141">
        <f t="shared" si="20"/>
        <v>23.240000000000002</v>
      </c>
      <c r="C1299" s="280">
        <v>45785</v>
      </c>
      <c r="D1299" s="279">
        <v>45789</v>
      </c>
      <c r="E1299" s="279">
        <v>45789</v>
      </c>
      <c r="F1299" s="132"/>
      <c r="G1299" s="132" t="s">
        <v>1108</v>
      </c>
      <c r="H1299" s="132" t="s">
        <v>373</v>
      </c>
      <c r="I1299" s="132" t="s">
        <v>1100</v>
      </c>
      <c r="J1299" s="132" t="s">
        <v>3827</v>
      </c>
      <c r="K1299" s="132" t="s">
        <v>3834</v>
      </c>
      <c r="L1299" s="132" t="s">
        <v>3835</v>
      </c>
      <c r="M1299" s="132" t="s">
        <v>4120</v>
      </c>
      <c r="N1299" s="132" t="s">
        <v>1117</v>
      </c>
      <c r="O1299" s="132" t="s">
        <v>3391</v>
      </c>
      <c r="P1299" s="132" t="s">
        <v>4121</v>
      </c>
      <c r="Q1299" s="132" t="s">
        <v>4122</v>
      </c>
      <c r="R1299" s="132" t="s">
        <v>1108</v>
      </c>
    </row>
    <row r="1300" spans="1:18" x14ac:dyDescent="0.2">
      <c r="A1300" t="s">
        <v>234</v>
      </c>
      <c r="B1300" s="141">
        <f t="shared" si="20"/>
        <v>23.1</v>
      </c>
      <c r="C1300" s="280">
        <v>45785</v>
      </c>
      <c r="D1300" s="279">
        <v>45789</v>
      </c>
      <c r="E1300" s="279">
        <v>45789</v>
      </c>
      <c r="F1300" s="132"/>
      <c r="G1300" s="132" t="s">
        <v>1108</v>
      </c>
      <c r="H1300" s="132" t="s">
        <v>373</v>
      </c>
      <c r="I1300" s="132" t="s">
        <v>1100</v>
      </c>
      <c r="J1300" s="132" t="s">
        <v>3827</v>
      </c>
      <c r="K1300" s="132" t="s">
        <v>3828</v>
      </c>
      <c r="L1300" s="132" t="s">
        <v>3829</v>
      </c>
      <c r="M1300" s="132" t="s">
        <v>4123</v>
      </c>
      <c r="N1300" s="132" t="s">
        <v>1112</v>
      </c>
      <c r="O1300" s="132" t="s">
        <v>3391</v>
      </c>
      <c r="P1300" s="132" t="s">
        <v>4124</v>
      </c>
      <c r="Q1300" s="132" t="s">
        <v>4122</v>
      </c>
      <c r="R1300" s="132" t="s">
        <v>1108</v>
      </c>
    </row>
    <row r="1301" spans="1:18" x14ac:dyDescent="0.2">
      <c r="A1301" t="s">
        <v>234</v>
      </c>
      <c r="B1301" s="141">
        <f t="shared" si="20"/>
        <v>23.240000000000002</v>
      </c>
      <c r="C1301" s="280">
        <v>45785</v>
      </c>
      <c r="D1301" s="279">
        <v>45789</v>
      </c>
      <c r="E1301" s="279">
        <v>45789</v>
      </c>
      <c r="F1301" s="132"/>
      <c r="G1301" s="132" t="s">
        <v>1588</v>
      </c>
      <c r="H1301" s="132" t="s">
        <v>373</v>
      </c>
      <c r="I1301" s="132" t="s">
        <v>1100</v>
      </c>
      <c r="J1301" s="132" t="s">
        <v>3827</v>
      </c>
      <c r="K1301" s="132" t="s">
        <v>3834</v>
      </c>
      <c r="L1301" s="132" t="s">
        <v>3835</v>
      </c>
      <c r="M1301" s="132" t="s">
        <v>4125</v>
      </c>
      <c r="N1301" s="132" t="s">
        <v>1105</v>
      </c>
      <c r="O1301" s="132" t="s">
        <v>3391</v>
      </c>
      <c r="P1301" s="132" t="s">
        <v>4126</v>
      </c>
      <c r="Q1301" s="132" t="s">
        <v>4122</v>
      </c>
      <c r="R1301" s="132" t="s">
        <v>1108</v>
      </c>
    </row>
    <row r="1302" spans="1:18" x14ac:dyDescent="0.2">
      <c r="A1302" t="s">
        <v>234</v>
      </c>
      <c r="B1302" s="141">
        <f t="shared" si="20"/>
        <v>23.1</v>
      </c>
      <c r="C1302" s="280">
        <v>45785</v>
      </c>
      <c r="D1302" s="279">
        <v>45789</v>
      </c>
      <c r="E1302" s="279">
        <v>45789</v>
      </c>
      <c r="F1302" s="132"/>
      <c r="G1302" s="132" t="s">
        <v>1108</v>
      </c>
      <c r="H1302" s="132" t="s">
        <v>373</v>
      </c>
      <c r="I1302" s="132" t="s">
        <v>1100</v>
      </c>
      <c r="J1302" s="132" t="s">
        <v>3827</v>
      </c>
      <c r="K1302" s="132" t="s">
        <v>3828</v>
      </c>
      <c r="L1302" s="132" t="s">
        <v>3829</v>
      </c>
      <c r="M1302" s="132" t="s">
        <v>4127</v>
      </c>
      <c r="N1302" s="132" t="s">
        <v>1112</v>
      </c>
      <c r="O1302" s="132" t="s">
        <v>3391</v>
      </c>
      <c r="P1302" s="132" t="s">
        <v>4128</v>
      </c>
      <c r="Q1302" s="132" t="s">
        <v>4122</v>
      </c>
      <c r="R1302" s="132" t="s">
        <v>1108</v>
      </c>
    </row>
    <row r="1303" spans="1:18" x14ac:dyDescent="0.2">
      <c r="A1303" t="s">
        <v>265</v>
      </c>
      <c r="B1303" s="141">
        <f t="shared" si="20"/>
        <v>2.64</v>
      </c>
      <c r="C1303" s="280">
        <v>45785</v>
      </c>
      <c r="D1303" s="279">
        <v>45789</v>
      </c>
      <c r="E1303" s="279">
        <v>45789</v>
      </c>
      <c r="F1303" s="132"/>
      <c r="G1303" s="132" t="s">
        <v>1108</v>
      </c>
      <c r="H1303" s="132" t="s">
        <v>373</v>
      </c>
      <c r="I1303" s="132" t="s">
        <v>1100</v>
      </c>
      <c r="J1303" s="132" t="s">
        <v>3022</v>
      </c>
      <c r="K1303" s="132" t="s">
        <v>3023</v>
      </c>
      <c r="L1303" s="132" t="s">
        <v>3024</v>
      </c>
      <c r="M1303" s="281" t="s">
        <v>4129</v>
      </c>
      <c r="N1303" s="132" t="s">
        <v>1117</v>
      </c>
      <c r="O1303" s="132" t="s">
        <v>3391</v>
      </c>
      <c r="P1303" s="132" t="s">
        <v>4130</v>
      </c>
      <c r="Q1303" s="132" t="s">
        <v>4122</v>
      </c>
      <c r="R1303" s="132" t="s">
        <v>1108</v>
      </c>
    </row>
    <row r="1304" spans="1:18" x14ac:dyDescent="0.2">
      <c r="A1304" t="s">
        <v>234</v>
      </c>
      <c r="B1304" s="141">
        <f t="shared" si="20"/>
        <v>23.240000000000002</v>
      </c>
      <c r="C1304" s="280">
        <v>45785</v>
      </c>
      <c r="D1304" s="279">
        <v>45789</v>
      </c>
      <c r="E1304" s="279">
        <v>45789</v>
      </c>
      <c r="F1304" s="132"/>
      <c r="G1304" s="132" t="s">
        <v>1108</v>
      </c>
      <c r="H1304" s="132" t="s">
        <v>373</v>
      </c>
      <c r="I1304" s="132" t="s">
        <v>1100</v>
      </c>
      <c r="J1304" s="132" t="s">
        <v>3827</v>
      </c>
      <c r="K1304" s="132" t="s">
        <v>3834</v>
      </c>
      <c r="L1304" s="132" t="s">
        <v>3835</v>
      </c>
      <c r="M1304" s="132" t="s">
        <v>4131</v>
      </c>
      <c r="N1304" s="132" t="s">
        <v>1117</v>
      </c>
      <c r="O1304" s="132" t="s">
        <v>3391</v>
      </c>
      <c r="P1304" s="132" t="s">
        <v>4132</v>
      </c>
      <c r="Q1304" s="132" t="s">
        <v>4122</v>
      </c>
      <c r="R1304" s="132" t="s">
        <v>1108</v>
      </c>
    </row>
    <row r="1305" spans="1:18" x14ac:dyDescent="0.2">
      <c r="A1305" t="s">
        <v>234</v>
      </c>
      <c r="B1305" s="141">
        <f t="shared" si="20"/>
        <v>23.240000000000002</v>
      </c>
      <c r="C1305" s="280">
        <v>45785</v>
      </c>
      <c r="D1305" s="279">
        <v>45789</v>
      </c>
      <c r="E1305" s="279">
        <v>45789</v>
      </c>
      <c r="F1305" s="132"/>
      <c r="G1305" s="132" t="s">
        <v>2018</v>
      </c>
      <c r="H1305" s="132" t="s">
        <v>373</v>
      </c>
      <c r="I1305" s="132" t="s">
        <v>1100</v>
      </c>
      <c r="J1305" s="132" t="s">
        <v>3827</v>
      </c>
      <c r="K1305" s="132" t="s">
        <v>3834</v>
      </c>
      <c r="L1305" s="132" t="s">
        <v>3835</v>
      </c>
      <c r="M1305" s="132" t="s">
        <v>4133</v>
      </c>
      <c r="N1305" s="132" t="s">
        <v>1105</v>
      </c>
      <c r="O1305" s="132" t="s">
        <v>3391</v>
      </c>
      <c r="P1305" s="132" t="s">
        <v>4134</v>
      </c>
      <c r="Q1305" s="132" t="s">
        <v>4122</v>
      </c>
      <c r="R1305" s="132" t="s">
        <v>1108</v>
      </c>
    </row>
    <row r="1306" spans="1:18" x14ac:dyDescent="0.2">
      <c r="A1306" t="s">
        <v>234</v>
      </c>
      <c r="B1306" s="141">
        <f t="shared" si="20"/>
        <v>23.1</v>
      </c>
      <c r="C1306" s="280">
        <v>45785</v>
      </c>
      <c r="D1306" s="279">
        <v>45789</v>
      </c>
      <c r="E1306" s="279">
        <v>45789</v>
      </c>
      <c r="F1306" s="132"/>
      <c r="G1306" s="132" t="s">
        <v>1108</v>
      </c>
      <c r="H1306" s="132" t="s">
        <v>373</v>
      </c>
      <c r="I1306" s="132" t="s">
        <v>1100</v>
      </c>
      <c r="J1306" s="132" t="s">
        <v>3827</v>
      </c>
      <c r="K1306" s="132" t="s">
        <v>3828</v>
      </c>
      <c r="L1306" s="132" t="s">
        <v>3829</v>
      </c>
      <c r="M1306" s="132" t="s">
        <v>4135</v>
      </c>
      <c r="N1306" s="132" t="s">
        <v>1112</v>
      </c>
      <c r="O1306" s="132" t="s">
        <v>3391</v>
      </c>
      <c r="P1306" s="132" t="s">
        <v>4136</v>
      </c>
      <c r="Q1306" s="132" t="s">
        <v>4122</v>
      </c>
      <c r="R1306" s="132" t="s">
        <v>1108</v>
      </c>
    </row>
    <row r="1307" spans="1:18" x14ac:dyDescent="0.2">
      <c r="A1307" t="s">
        <v>234</v>
      </c>
      <c r="B1307" s="141">
        <f t="shared" si="20"/>
        <v>23.1</v>
      </c>
      <c r="C1307" s="280">
        <v>45785</v>
      </c>
      <c r="D1307" s="279">
        <v>45789</v>
      </c>
      <c r="E1307" s="279">
        <v>45789</v>
      </c>
      <c r="F1307" s="132"/>
      <c r="G1307" s="132" t="s">
        <v>1108</v>
      </c>
      <c r="H1307" s="132" t="s">
        <v>373</v>
      </c>
      <c r="I1307" s="132" t="s">
        <v>1100</v>
      </c>
      <c r="J1307" s="132" t="s">
        <v>3827</v>
      </c>
      <c r="K1307" s="132" t="s">
        <v>3828</v>
      </c>
      <c r="L1307" s="132" t="s">
        <v>3829</v>
      </c>
      <c r="M1307" s="132" t="s">
        <v>4137</v>
      </c>
      <c r="N1307" s="132" t="s">
        <v>1112</v>
      </c>
      <c r="O1307" s="132" t="s">
        <v>3391</v>
      </c>
      <c r="P1307" s="132" t="s">
        <v>4138</v>
      </c>
      <c r="Q1307" s="132" t="s">
        <v>4122</v>
      </c>
      <c r="R1307" s="132" t="s">
        <v>1108</v>
      </c>
    </row>
    <row r="1308" spans="1:18" x14ac:dyDescent="0.2">
      <c r="A1308" t="s">
        <v>234</v>
      </c>
      <c r="B1308" s="141">
        <f t="shared" si="20"/>
        <v>23.240000000000002</v>
      </c>
      <c r="C1308" s="280">
        <v>45785</v>
      </c>
      <c r="D1308" s="279">
        <v>45789</v>
      </c>
      <c r="E1308" s="279">
        <v>45789</v>
      </c>
      <c r="F1308" s="132"/>
      <c r="G1308" s="132" t="s">
        <v>1923</v>
      </c>
      <c r="H1308" s="132" t="s">
        <v>373</v>
      </c>
      <c r="I1308" s="132" t="s">
        <v>1100</v>
      </c>
      <c r="J1308" s="132" t="s">
        <v>3827</v>
      </c>
      <c r="K1308" s="132" t="s">
        <v>3834</v>
      </c>
      <c r="L1308" s="132" t="s">
        <v>3835</v>
      </c>
      <c r="M1308" s="132" t="s">
        <v>4139</v>
      </c>
      <c r="N1308" s="132" t="s">
        <v>1105</v>
      </c>
      <c r="O1308" s="132" t="s">
        <v>3391</v>
      </c>
      <c r="P1308" s="132" t="s">
        <v>4140</v>
      </c>
      <c r="Q1308" s="132" t="s">
        <v>4122</v>
      </c>
      <c r="R1308" s="132" t="s">
        <v>1108</v>
      </c>
    </row>
    <row r="1309" spans="1:18" x14ac:dyDescent="0.2">
      <c r="A1309" t="s">
        <v>265</v>
      </c>
      <c r="B1309" s="141">
        <f t="shared" si="20"/>
        <v>2.64</v>
      </c>
      <c r="C1309" s="280">
        <v>45785</v>
      </c>
      <c r="D1309" s="279">
        <v>45789</v>
      </c>
      <c r="E1309" s="279">
        <v>45789</v>
      </c>
      <c r="F1309" s="132"/>
      <c r="G1309" s="132" t="s">
        <v>3040</v>
      </c>
      <c r="H1309" s="132" t="s">
        <v>373</v>
      </c>
      <c r="I1309" s="132" t="s">
        <v>1100</v>
      </c>
      <c r="J1309" s="132" t="s">
        <v>3022</v>
      </c>
      <c r="K1309" s="132" t="s">
        <v>3023</v>
      </c>
      <c r="L1309" s="132" t="s">
        <v>3024</v>
      </c>
      <c r="M1309" s="132" t="s">
        <v>4141</v>
      </c>
      <c r="N1309" s="132" t="s">
        <v>1105</v>
      </c>
      <c r="O1309" s="132" t="s">
        <v>3391</v>
      </c>
      <c r="P1309" s="132" t="s">
        <v>4142</v>
      </c>
      <c r="Q1309" s="132" t="s">
        <v>4122</v>
      </c>
      <c r="R1309" s="132" t="s">
        <v>1108</v>
      </c>
    </row>
    <row r="1310" spans="1:18" x14ac:dyDescent="0.2">
      <c r="A1310" t="s">
        <v>234</v>
      </c>
      <c r="B1310" s="141">
        <f t="shared" si="20"/>
        <v>23.1</v>
      </c>
      <c r="C1310" s="280">
        <v>45785</v>
      </c>
      <c r="D1310" s="279">
        <v>45789</v>
      </c>
      <c r="E1310" s="279">
        <v>45789</v>
      </c>
      <c r="F1310" s="132"/>
      <c r="G1310" s="132" t="s">
        <v>1108</v>
      </c>
      <c r="H1310" s="132" t="s">
        <v>373</v>
      </c>
      <c r="I1310" s="132" t="s">
        <v>1100</v>
      </c>
      <c r="J1310" s="132" t="s">
        <v>3827</v>
      </c>
      <c r="K1310" s="132" t="s">
        <v>3828</v>
      </c>
      <c r="L1310" s="132" t="s">
        <v>3829</v>
      </c>
      <c r="M1310" s="132" t="s">
        <v>4143</v>
      </c>
      <c r="N1310" s="132" t="s">
        <v>1112</v>
      </c>
      <c r="O1310" s="132" t="s">
        <v>3391</v>
      </c>
      <c r="P1310" s="132" t="s">
        <v>4144</v>
      </c>
      <c r="Q1310" s="132" t="s">
        <v>4122</v>
      </c>
      <c r="R1310" s="132" t="s">
        <v>1108</v>
      </c>
    </row>
    <row r="1311" spans="1:18" x14ac:dyDescent="0.2">
      <c r="A1311" t="s">
        <v>234</v>
      </c>
      <c r="B1311" s="141">
        <f t="shared" si="20"/>
        <v>23.240000000000002</v>
      </c>
      <c r="C1311" s="280">
        <v>45785</v>
      </c>
      <c r="D1311" s="279">
        <v>45789</v>
      </c>
      <c r="E1311" s="279">
        <v>45789</v>
      </c>
      <c r="F1311" s="132"/>
      <c r="G1311" s="132" t="s">
        <v>1327</v>
      </c>
      <c r="H1311" s="132" t="s">
        <v>373</v>
      </c>
      <c r="I1311" s="132" t="s">
        <v>1100</v>
      </c>
      <c r="J1311" s="132" t="s">
        <v>3827</v>
      </c>
      <c r="K1311" s="132" t="s">
        <v>3834</v>
      </c>
      <c r="L1311" s="132" t="s">
        <v>3835</v>
      </c>
      <c r="M1311" s="132" t="s">
        <v>4145</v>
      </c>
      <c r="N1311" s="132" t="s">
        <v>1105</v>
      </c>
      <c r="O1311" s="132" t="s">
        <v>3391</v>
      </c>
      <c r="P1311" s="132" t="s">
        <v>4146</v>
      </c>
      <c r="Q1311" s="132" t="s">
        <v>4122</v>
      </c>
      <c r="R1311" s="132" t="s">
        <v>1108</v>
      </c>
    </row>
    <row r="1312" spans="1:18" x14ac:dyDescent="0.2">
      <c r="A1312" t="s">
        <v>234</v>
      </c>
      <c r="B1312" s="141">
        <f t="shared" si="20"/>
        <v>23.1</v>
      </c>
      <c r="C1312" s="280">
        <v>45785</v>
      </c>
      <c r="D1312" s="279">
        <v>45789</v>
      </c>
      <c r="E1312" s="279">
        <v>45789</v>
      </c>
      <c r="F1312" s="132"/>
      <c r="G1312" s="132" t="s">
        <v>1108</v>
      </c>
      <c r="H1312" s="132" t="s">
        <v>373</v>
      </c>
      <c r="I1312" s="132" t="s">
        <v>1100</v>
      </c>
      <c r="J1312" s="132" t="s">
        <v>3827</v>
      </c>
      <c r="K1312" s="132" t="s">
        <v>3828</v>
      </c>
      <c r="L1312" s="132" t="s">
        <v>3829</v>
      </c>
      <c r="M1312" s="132" t="s">
        <v>4147</v>
      </c>
      <c r="N1312" s="132" t="s">
        <v>1112</v>
      </c>
      <c r="O1312" s="132" t="s">
        <v>3391</v>
      </c>
      <c r="P1312" s="132" t="s">
        <v>4148</v>
      </c>
      <c r="Q1312" s="132" t="s">
        <v>4122</v>
      </c>
      <c r="R1312" s="132" t="s">
        <v>1108</v>
      </c>
    </row>
    <row r="1313" spans="1:18" x14ac:dyDescent="0.2">
      <c r="A1313" t="s">
        <v>234</v>
      </c>
      <c r="B1313" s="141">
        <f t="shared" si="20"/>
        <v>23.1</v>
      </c>
      <c r="C1313" s="280">
        <v>45785</v>
      </c>
      <c r="D1313" s="279">
        <v>45789</v>
      </c>
      <c r="E1313" s="279">
        <v>45789</v>
      </c>
      <c r="F1313" s="132"/>
      <c r="G1313" s="132" t="s">
        <v>1108</v>
      </c>
      <c r="H1313" s="132" t="s">
        <v>373</v>
      </c>
      <c r="I1313" s="132" t="s">
        <v>1100</v>
      </c>
      <c r="J1313" s="132" t="s">
        <v>3827</v>
      </c>
      <c r="K1313" s="132" t="s">
        <v>3828</v>
      </c>
      <c r="L1313" s="132" t="s">
        <v>3829</v>
      </c>
      <c r="M1313" s="132" t="s">
        <v>4149</v>
      </c>
      <c r="N1313" s="132" t="s">
        <v>1112</v>
      </c>
      <c r="O1313" s="132" t="s">
        <v>3391</v>
      </c>
      <c r="P1313" s="132" t="s">
        <v>4150</v>
      </c>
      <c r="Q1313" s="132" t="s">
        <v>4122</v>
      </c>
      <c r="R1313" s="132" t="s">
        <v>1108</v>
      </c>
    </row>
    <row r="1314" spans="1:18" x14ac:dyDescent="0.2">
      <c r="A1314" t="s">
        <v>266</v>
      </c>
      <c r="B1314" s="141">
        <f t="shared" si="20"/>
        <v>4.6000000000000005</v>
      </c>
      <c r="C1314" s="280">
        <v>45785</v>
      </c>
      <c r="D1314" s="279">
        <v>45789</v>
      </c>
      <c r="E1314" s="279">
        <v>45789</v>
      </c>
      <c r="F1314" s="132"/>
      <c r="G1314" s="132" t="s">
        <v>1108</v>
      </c>
      <c r="H1314" s="132" t="s">
        <v>373</v>
      </c>
      <c r="I1314" s="132" t="s">
        <v>1100</v>
      </c>
      <c r="J1314" s="132" t="s">
        <v>2671</v>
      </c>
      <c r="K1314" s="132" t="s">
        <v>2672</v>
      </c>
      <c r="L1314" s="132" t="s">
        <v>2673</v>
      </c>
      <c r="M1314" s="132" t="s">
        <v>4151</v>
      </c>
      <c r="N1314" s="132" t="s">
        <v>1117</v>
      </c>
      <c r="O1314" s="132" t="s">
        <v>3391</v>
      </c>
      <c r="P1314" s="132" t="s">
        <v>4152</v>
      </c>
      <c r="Q1314" s="132" t="s">
        <v>4122</v>
      </c>
      <c r="R1314" s="132" t="s">
        <v>1108</v>
      </c>
    </row>
    <row r="1315" spans="1:18" x14ac:dyDescent="0.2">
      <c r="A1315" t="s">
        <v>234</v>
      </c>
      <c r="B1315" s="141">
        <f t="shared" si="20"/>
        <v>23.240000000000002</v>
      </c>
      <c r="C1315" s="280">
        <v>45785</v>
      </c>
      <c r="D1315" s="279">
        <v>45789</v>
      </c>
      <c r="E1315" s="279">
        <v>45789</v>
      </c>
      <c r="F1315" s="132"/>
      <c r="G1315" s="132" t="s">
        <v>1108</v>
      </c>
      <c r="H1315" s="132" t="s">
        <v>373</v>
      </c>
      <c r="I1315" s="132" t="s">
        <v>1100</v>
      </c>
      <c r="J1315" s="132" t="s">
        <v>3827</v>
      </c>
      <c r="K1315" s="132" t="s">
        <v>3834</v>
      </c>
      <c r="L1315" s="132" t="s">
        <v>3835</v>
      </c>
      <c r="M1315" s="132" t="s">
        <v>4153</v>
      </c>
      <c r="N1315" s="132" t="s">
        <v>1117</v>
      </c>
      <c r="O1315" s="132" t="s">
        <v>3391</v>
      </c>
      <c r="P1315" s="132" t="s">
        <v>4154</v>
      </c>
      <c r="Q1315" s="132" t="s">
        <v>4122</v>
      </c>
      <c r="R1315" s="132" t="s">
        <v>1108</v>
      </c>
    </row>
    <row r="1316" spans="1:18" x14ac:dyDescent="0.2">
      <c r="A1316" t="s">
        <v>234</v>
      </c>
      <c r="B1316" s="141">
        <f t="shared" si="20"/>
        <v>23.240000000000002</v>
      </c>
      <c r="C1316" s="280">
        <v>45786</v>
      </c>
      <c r="D1316" s="279">
        <v>45790</v>
      </c>
      <c r="E1316" s="279">
        <v>45790</v>
      </c>
      <c r="F1316" s="132"/>
      <c r="G1316" s="132" t="s">
        <v>1446</v>
      </c>
      <c r="H1316" s="132" t="s">
        <v>373</v>
      </c>
      <c r="I1316" s="132" t="s">
        <v>1100</v>
      </c>
      <c r="J1316" s="132" t="s">
        <v>3827</v>
      </c>
      <c r="K1316" s="132" t="s">
        <v>3834</v>
      </c>
      <c r="L1316" s="132" t="s">
        <v>3835</v>
      </c>
      <c r="M1316" s="132" t="s">
        <v>4155</v>
      </c>
      <c r="N1316" s="132" t="s">
        <v>1105</v>
      </c>
      <c r="O1316" s="132" t="s">
        <v>3391</v>
      </c>
      <c r="P1316" s="132" t="s">
        <v>4156</v>
      </c>
      <c r="Q1316" s="132" t="s">
        <v>4157</v>
      </c>
      <c r="R1316" s="132" t="s">
        <v>1108</v>
      </c>
    </row>
    <row r="1317" spans="1:18" x14ac:dyDescent="0.2">
      <c r="A1317" t="s">
        <v>234</v>
      </c>
      <c r="B1317" s="141">
        <f t="shared" si="20"/>
        <v>23.240000000000002</v>
      </c>
      <c r="C1317" s="280">
        <v>45786</v>
      </c>
      <c r="D1317" s="279">
        <v>45790</v>
      </c>
      <c r="E1317" s="279">
        <v>45790</v>
      </c>
      <c r="F1317" s="132"/>
      <c r="G1317" s="132" t="s">
        <v>1481</v>
      </c>
      <c r="H1317" s="132" t="s">
        <v>373</v>
      </c>
      <c r="I1317" s="132" t="s">
        <v>1100</v>
      </c>
      <c r="J1317" s="132" t="s">
        <v>3827</v>
      </c>
      <c r="K1317" s="132" t="s">
        <v>3834</v>
      </c>
      <c r="L1317" s="132" t="s">
        <v>3835</v>
      </c>
      <c r="M1317" s="132" t="s">
        <v>4158</v>
      </c>
      <c r="N1317" s="132" t="s">
        <v>1105</v>
      </c>
      <c r="O1317" s="132" t="s">
        <v>3391</v>
      </c>
      <c r="P1317" s="132" t="s">
        <v>4159</v>
      </c>
      <c r="Q1317" s="132" t="s">
        <v>4157</v>
      </c>
      <c r="R1317" s="132" t="s">
        <v>1108</v>
      </c>
    </row>
    <row r="1318" spans="1:18" x14ac:dyDescent="0.2">
      <c r="A1318" t="s">
        <v>265</v>
      </c>
      <c r="B1318" s="141">
        <f t="shared" si="20"/>
        <v>2.64</v>
      </c>
      <c r="C1318" s="280">
        <v>45786</v>
      </c>
      <c r="D1318" s="279">
        <v>45790</v>
      </c>
      <c r="E1318" s="279">
        <v>45790</v>
      </c>
      <c r="F1318" s="132"/>
      <c r="G1318" s="132" t="s">
        <v>1108</v>
      </c>
      <c r="H1318" s="132" t="s">
        <v>373</v>
      </c>
      <c r="I1318" s="132" t="s">
        <v>1100</v>
      </c>
      <c r="J1318" s="132" t="s">
        <v>3022</v>
      </c>
      <c r="K1318" s="132" t="s">
        <v>3023</v>
      </c>
      <c r="L1318" s="132" t="s">
        <v>3024</v>
      </c>
      <c r="M1318" s="132" t="s">
        <v>4160</v>
      </c>
      <c r="N1318" s="132" t="s">
        <v>1117</v>
      </c>
      <c r="O1318" s="132" t="s">
        <v>3391</v>
      </c>
      <c r="P1318" s="132" t="s">
        <v>4161</v>
      </c>
      <c r="Q1318" s="132" t="s">
        <v>4157</v>
      </c>
      <c r="R1318" s="132" t="s">
        <v>1108</v>
      </c>
    </row>
    <row r="1319" spans="1:18" x14ac:dyDescent="0.2">
      <c r="A1319" t="s">
        <v>265</v>
      </c>
      <c r="B1319" s="141">
        <f t="shared" si="20"/>
        <v>2.64</v>
      </c>
      <c r="C1319" s="280">
        <v>45786</v>
      </c>
      <c r="D1319" s="279">
        <v>45790</v>
      </c>
      <c r="E1319" s="279">
        <v>45790</v>
      </c>
      <c r="F1319" s="132"/>
      <c r="G1319" s="132" t="s">
        <v>1108</v>
      </c>
      <c r="H1319" s="132" t="s">
        <v>373</v>
      </c>
      <c r="I1319" s="132" t="s">
        <v>1100</v>
      </c>
      <c r="J1319" s="132" t="s">
        <v>3022</v>
      </c>
      <c r="K1319" s="132" t="s">
        <v>3023</v>
      </c>
      <c r="L1319" s="132" t="s">
        <v>3024</v>
      </c>
      <c r="M1319" s="132" t="s">
        <v>4162</v>
      </c>
      <c r="N1319" s="132" t="s">
        <v>1117</v>
      </c>
      <c r="O1319" s="132" t="s">
        <v>3391</v>
      </c>
      <c r="P1319" s="132" t="s">
        <v>4163</v>
      </c>
      <c r="Q1319" s="132" t="s">
        <v>4157</v>
      </c>
      <c r="R1319" s="132" t="s">
        <v>1108</v>
      </c>
    </row>
    <row r="1320" spans="1:18" x14ac:dyDescent="0.2">
      <c r="A1320" t="s">
        <v>235</v>
      </c>
      <c r="B1320" s="141">
        <f t="shared" si="20"/>
        <v>27.17</v>
      </c>
      <c r="C1320" s="280">
        <v>45786</v>
      </c>
      <c r="D1320" s="279">
        <v>45790</v>
      </c>
      <c r="E1320" s="279">
        <v>45790</v>
      </c>
      <c r="F1320" s="132"/>
      <c r="G1320" s="132" t="s">
        <v>4028</v>
      </c>
      <c r="H1320" s="132" t="s">
        <v>373</v>
      </c>
      <c r="I1320" s="132" t="s">
        <v>1100</v>
      </c>
      <c r="J1320" s="132" t="s">
        <v>3849</v>
      </c>
      <c r="K1320" s="132" t="s">
        <v>3850</v>
      </c>
      <c r="L1320" s="132" t="s">
        <v>3851</v>
      </c>
      <c r="M1320" s="132" t="s">
        <v>4164</v>
      </c>
      <c r="N1320" s="132" t="s">
        <v>1105</v>
      </c>
      <c r="O1320" s="132" t="s">
        <v>3391</v>
      </c>
      <c r="P1320" s="132" t="s">
        <v>4165</v>
      </c>
      <c r="Q1320" s="132" t="s">
        <v>4157</v>
      </c>
      <c r="R1320" s="132" t="s">
        <v>1108</v>
      </c>
    </row>
    <row r="1321" spans="1:18" x14ac:dyDescent="0.2">
      <c r="A1321" t="s">
        <v>265</v>
      </c>
      <c r="B1321" s="141">
        <f t="shared" si="20"/>
        <v>2.64</v>
      </c>
      <c r="C1321" s="280">
        <v>45786</v>
      </c>
      <c r="D1321" s="279">
        <v>45790</v>
      </c>
      <c r="E1321" s="279">
        <v>45790</v>
      </c>
      <c r="F1321" s="132"/>
      <c r="G1321" s="132" t="s">
        <v>3011</v>
      </c>
      <c r="H1321" s="132" t="s">
        <v>373</v>
      </c>
      <c r="I1321" s="132" t="s">
        <v>1100</v>
      </c>
      <c r="J1321" s="132" t="s">
        <v>3022</v>
      </c>
      <c r="K1321" s="132" t="s">
        <v>3023</v>
      </c>
      <c r="L1321" s="132" t="s">
        <v>3024</v>
      </c>
      <c r="M1321" s="132" t="s">
        <v>4166</v>
      </c>
      <c r="N1321" s="132" t="s">
        <v>1105</v>
      </c>
      <c r="O1321" s="132" t="s">
        <v>3391</v>
      </c>
      <c r="P1321" s="132" t="s">
        <v>4167</v>
      </c>
      <c r="Q1321" s="132" t="s">
        <v>4157</v>
      </c>
      <c r="R1321" s="132" t="s">
        <v>1108</v>
      </c>
    </row>
    <row r="1322" spans="1:18" x14ac:dyDescent="0.2">
      <c r="A1322" t="s">
        <v>234</v>
      </c>
      <c r="B1322" s="141">
        <f t="shared" si="20"/>
        <v>23.1</v>
      </c>
      <c r="C1322" s="280">
        <v>45786</v>
      </c>
      <c r="D1322" s="279">
        <v>45790</v>
      </c>
      <c r="E1322" s="279">
        <v>45790</v>
      </c>
      <c r="F1322" s="132"/>
      <c r="G1322" s="132" t="s">
        <v>1108</v>
      </c>
      <c r="H1322" s="132" t="s">
        <v>373</v>
      </c>
      <c r="I1322" s="132" t="s">
        <v>1100</v>
      </c>
      <c r="J1322" s="132" t="s">
        <v>3827</v>
      </c>
      <c r="K1322" s="132" t="s">
        <v>3828</v>
      </c>
      <c r="L1322" s="132" t="s">
        <v>3829</v>
      </c>
      <c r="M1322" s="132" t="s">
        <v>4168</v>
      </c>
      <c r="N1322" s="132" t="s">
        <v>1112</v>
      </c>
      <c r="O1322" s="132" t="s">
        <v>3391</v>
      </c>
      <c r="P1322" s="132" t="s">
        <v>4169</v>
      </c>
      <c r="Q1322" s="132" t="s">
        <v>4157</v>
      </c>
      <c r="R1322" s="132" t="s">
        <v>1108</v>
      </c>
    </row>
    <row r="1323" spans="1:18" x14ac:dyDescent="0.2">
      <c r="A1323" t="s">
        <v>266</v>
      </c>
      <c r="B1323" s="141">
        <f t="shared" si="20"/>
        <v>17.25</v>
      </c>
      <c r="C1323" s="280">
        <v>45786</v>
      </c>
      <c r="D1323" s="279">
        <v>45790</v>
      </c>
      <c r="E1323" s="279">
        <v>45790</v>
      </c>
      <c r="F1323" s="132"/>
      <c r="G1323" s="132" t="s">
        <v>1108</v>
      </c>
      <c r="H1323" s="132" t="s">
        <v>373</v>
      </c>
      <c r="I1323" s="132" t="s">
        <v>1100</v>
      </c>
      <c r="J1323" s="132" t="s">
        <v>4170</v>
      </c>
      <c r="K1323" s="132" t="s">
        <v>4171</v>
      </c>
      <c r="L1323" s="132" t="s">
        <v>2094</v>
      </c>
      <c r="M1323" s="132" t="s">
        <v>4172</v>
      </c>
      <c r="N1323" s="132" t="s">
        <v>1112</v>
      </c>
      <c r="O1323" s="132" t="s">
        <v>3391</v>
      </c>
      <c r="P1323" s="132" t="s">
        <v>4173</v>
      </c>
      <c r="Q1323" s="132" t="s">
        <v>4157</v>
      </c>
      <c r="R1323" s="132" t="s">
        <v>1108</v>
      </c>
    </row>
    <row r="1324" spans="1:18" x14ac:dyDescent="0.2">
      <c r="A1324" t="s">
        <v>265</v>
      </c>
      <c r="B1324" s="141">
        <f t="shared" si="20"/>
        <v>2.62</v>
      </c>
      <c r="C1324" s="280">
        <v>45786</v>
      </c>
      <c r="D1324" s="279">
        <v>45790</v>
      </c>
      <c r="E1324" s="279">
        <v>45790</v>
      </c>
      <c r="F1324" s="132"/>
      <c r="G1324" s="132" t="s">
        <v>1108</v>
      </c>
      <c r="H1324" s="132" t="s">
        <v>373</v>
      </c>
      <c r="I1324" s="132" t="s">
        <v>1100</v>
      </c>
      <c r="J1324" s="132" t="s">
        <v>3022</v>
      </c>
      <c r="K1324" s="132" t="s">
        <v>1742</v>
      </c>
      <c r="L1324" s="132" t="s">
        <v>3029</v>
      </c>
      <c r="M1324" s="132" t="s">
        <v>4174</v>
      </c>
      <c r="N1324" s="132" t="s">
        <v>1112</v>
      </c>
      <c r="O1324" s="132" t="s">
        <v>3391</v>
      </c>
      <c r="P1324" s="132" t="s">
        <v>4175</v>
      </c>
      <c r="Q1324" s="132" t="s">
        <v>4157</v>
      </c>
      <c r="R1324" s="132" t="s">
        <v>1108</v>
      </c>
    </row>
    <row r="1325" spans="1:18" x14ac:dyDescent="0.2">
      <c r="A1325" t="s">
        <v>234</v>
      </c>
      <c r="B1325" s="141">
        <f t="shared" si="20"/>
        <v>23.1</v>
      </c>
      <c r="C1325" s="280">
        <v>45786</v>
      </c>
      <c r="D1325" s="279">
        <v>45790</v>
      </c>
      <c r="E1325" s="279">
        <v>45790</v>
      </c>
      <c r="F1325" s="132"/>
      <c r="G1325" s="132" t="s">
        <v>1108</v>
      </c>
      <c r="H1325" s="132" t="s">
        <v>373</v>
      </c>
      <c r="I1325" s="132" t="s">
        <v>1100</v>
      </c>
      <c r="J1325" s="132" t="s">
        <v>3827</v>
      </c>
      <c r="K1325" s="132" t="s">
        <v>3828</v>
      </c>
      <c r="L1325" s="132" t="s">
        <v>3829</v>
      </c>
      <c r="M1325" s="132" t="s">
        <v>4176</v>
      </c>
      <c r="N1325" s="132" t="s">
        <v>1112</v>
      </c>
      <c r="O1325" s="132" t="s">
        <v>3391</v>
      </c>
      <c r="P1325" s="132" t="s">
        <v>4177</v>
      </c>
      <c r="Q1325" s="132" t="s">
        <v>4157</v>
      </c>
      <c r="R1325" s="132" t="s">
        <v>1108</v>
      </c>
    </row>
    <row r="1326" spans="1:18" x14ac:dyDescent="0.2">
      <c r="A1326" t="s">
        <v>265</v>
      </c>
      <c r="B1326" s="141">
        <f t="shared" si="20"/>
        <v>2.64</v>
      </c>
      <c r="C1326" s="280">
        <v>45786</v>
      </c>
      <c r="D1326" s="279">
        <v>45790</v>
      </c>
      <c r="E1326" s="279">
        <v>45790</v>
      </c>
      <c r="F1326" s="132"/>
      <c r="G1326" s="132" t="s">
        <v>1108</v>
      </c>
      <c r="H1326" s="132" t="s">
        <v>373</v>
      </c>
      <c r="I1326" s="132" t="s">
        <v>1100</v>
      </c>
      <c r="J1326" s="132" t="s">
        <v>3022</v>
      </c>
      <c r="K1326" s="132" t="s">
        <v>3023</v>
      </c>
      <c r="L1326" s="132" t="s">
        <v>3024</v>
      </c>
      <c r="M1326" s="132" t="s">
        <v>4178</v>
      </c>
      <c r="N1326" s="132" t="s">
        <v>1117</v>
      </c>
      <c r="O1326" s="132" t="s">
        <v>3391</v>
      </c>
      <c r="P1326" s="132" t="s">
        <v>4179</v>
      </c>
      <c r="Q1326" s="132" t="s">
        <v>4157</v>
      </c>
      <c r="R1326" s="132" t="s">
        <v>1108</v>
      </c>
    </row>
    <row r="1327" spans="1:18" x14ac:dyDescent="0.2">
      <c r="A1327" t="s">
        <v>234</v>
      </c>
      <c r="B1327" s="141">
        <f t="shared" si="20"/>
        <v>23.240000000000002</v>
      </c>
      <c r="C1327" s="280">
        <v>45786</v>
      </c>
      <c r="D1327" s="279">
        <v>45790</v>
      </c>
      <c r="E1327" s="279">
        <v>45790</v>
      </c>
      <c r="F1327" s="132"/>
      <c r="G1327" s="132" t="s">
        <v>1108</v>
      </c>
      <c r="H1327" s="132" t="s">
        <v>373</v>
      </c>
      <c r="I1327" s="132" t="s">
        <v>1100</v>
      </c>
      <c r="J1327" s="132" t="s">
        <v>3827</v>
      </c>
      <c r="K1327" s="132" t="s">
        <v>3834</v>
      </c>
      <c r="L1327" s="132" t="s">
        <v>3835</v>
      </c>
      <c r="M1327" s="132" t="s">
        <v>4180</v>
      </c>
      <c r="N1327" s="132" t="s">
        <v>1117</v>
      </c>
      <c r="O1327" s="132" t="s">
        <v>3391</v>
      </c>
      <c r="P1327" s="132" t="s">
        <v>4181</v>
      </c>
      <c r="Q1327" s="132" t="s">
        <v>4157</v>
      </c>
      <c r="R1327" s="132" t="s">
        <v>1108</v>
      </c>
    </row>
    <row r="1328" spans="1:18" x14ac:dyDescent="0.2">
      <c r="A1328" t="s">
        <v>234</v>
      </c>
      <c r="B1328" s="141">
        <f t="shared" si="20"/>
        <v>23.240000000000002</v>
      </c>
      <c r="C1328" s="280">
        <v>45786</v>
      </c>
      <c r="D1328" s="279">
        <v>45790</v>
      </c>
      <c r="E1328" s="279">
        <v>45790</v>
      </c>
      <c r="F1328" s="132"/>
      <c r="G1328" s="132" t="s">
        <v>1108</v>
      </c>
      <c r="H1328" s="132" t="s">
        <v>373</v>
      </c>
      <c r="I1328" s="132" t="s">
        <v>1100</v>
      </c>
      <c r="J1328" s="132" t="s">
        <v>3827</v>
      </c>
      <c r="K1328" s="132" t="s">
        <v>3834</v>
      </c>
      <c r="L1328" s="132" t="s">
        <v>3835</v>
      </c>
      <c r="M1328" s="132" t="s">
        <v>4182</v>
      </c>
      <c r="N1328" s="132" t="s">
        <v>1117</v>
      </c>
      <c r="O1328" s="132" t="s">
        <v>3391</v>
      </c>
      <c r="P1328" s="132" t="s">
        <v>4183</v>
      </c>
      <c r="Q1328" s="132" t="s">
        <v>4157</v>
      </c>
      <c r="R1328" s="132" t="s">
        <v>1108</v>
      </c>
    </row>
    <row r="1329" spans="1:18" x14ac:dyDescent="0.2">
      <c r="A1329" t="s">
        <v>266</v>
      </c>
      <c r="B1329" s="141">
        <f t="shared" si="20"/>
        <v>4.57</v>
      </c>
      <c r="C1329" s="280">
        <v>45786</v>
      </c>
      <c r="D1329" s="279">
        <v>45790</v>
      </c>
      <c r="E1329" s="279">
        <v>45790</v>
      </c>
      <c r="F1329" s="132"/>
      <c r="G1329" s="132" t="s">
        <v>1108</v>
      </c>
      <c r="H1329" s="132" t="s">
        <v>373</v>
      </c>
      <c r="I1329" s="132" t="s">
        <v>1100</v>
      </c>
      <c r="J1329" s="132" t="s">
        <v>2671</v>
      </c>
      <c r="K1329" s="132" t="s">
        <v>1927</v>
      </c>
      <c r="L1329" s="132" t="s">
        <v>2740</v>
      </c>
      <c r="M1329" s="132" t="s">
        <v>4184</v>
      </c>
      <c r="N1329" s="132" t="s">
        <v>1112</v>
      </c>
      <c r="O1329" s="132" t="s">
        <v>3391</v>
      </c>
      <c r="P1329" s="132" t="s">
        <v>4185</v>
      </c>
      <c r="Q1329" s="132" t="s">
        <v>4157</v>
      </c>
      <c r="R1329" s="132" t="s">
        <v>1108</v>
      </c>
    </row>
    <row r="1330" spans="1:18" x14ac:dyDescent="0.2">
      <c r="A1330" t="s">
        <v>265</v>
      </c>
      <c r="B1330" s="141">
        <f t="shared" si="20"/>
        <v>2.62</v>
      </c>
      <c r="C1330" s="280">
        <v>45786</v>
      </c>
      <c r="D1330" s="279">
        <v>45790</v>
      </c>
      <c r="E1330" s="279">
        <v>45790</v>
      </c>
      <c r="F1330" s="132"/>
      <c r="G1330" s="132" t="s">
        <v>1108</v>
      </c>
      <c r="H1330" s="132" t="s">
        <v>373</v>
      </c>
      <c r="I1330" s="132" t="s">
        <v>1100</v>
      </c>
      <c r="J1330" s="132" t="s">
        <v>3022</v>
      </c>
      <c r="K1330" s="132" t="s">
        <v>1742</v>
      </c>
      <c r="L1330" s="132" t="s">
        <v>3029</v>
      </c>
      <c r="M1330" s="132" t="s">
        <v>4186</v>
      </c>
      <c r="N1330" s="132" t="s">
        <v>1112</v>
      </c>
      <c r="O1330" s="132" t="s">
        <v>3391</v>
      </c>
      <c r="P1330" s="132" t="s">
        <v>4187</v>
      </c>
      <c r="Q1330" s="132" t="s">
        <v>4157</v>
      </c>
      <c r="R1330" s="132" t="s">
        <v>1108</v>
      </c>
    </row>
    <row r="1331" spans="1:18" x14ac:dyDescent="0.2">
      <c r="A1331" t="s">
        <v>265</v>
      </c>
      <c r="B1331" s="141">
        <f t="shared" si="20"/>
        <v>2.64</v>
      </c>
      <c r="C1331" s="280">
        <v>45786</v>
      </c>
      <c r="D1331" s="279">
        <v>45790</v>
      </c>
      <c r="E1331" s="279">
        <v>45790</v>
      </c>
      <c r="F1331" s="132"/>
      <c r="G1331" s="132" t="s">
        <v>1108</v>
      </c>
      <c r="H1331" s="132" t="s">
        <v>373</v>
      </c>
      <c r="I1331" s="132" t="s">
        <v>1100</v>
      </c>
      <c r="J1331" s="132" t="s">
        <v>3022</v>
      </c>
      <c r="K1331" s="132" t="s">
        <v>3023</v>
      </c>
      <c r="L1331" s="132" t="s">
        <v>3024</v>
      </c>
      <c r="M1331" s="132" t="s">
        <v>4188</v>
      </c>
      <c r="N1331" s="132" t="s">
        <v>1117</v>
      </c>
      <c r="O1331" s="132" t="s">
        <v>3391</v>
      </c>
      <c r="P1331" s="132" t="s">
        <v>4189</v>
      </c>
      <c r="Q1331" s="132" t="s">
        <v>4157</v>
      </c>
      <c r="R1331" s="132" t="s">
        <v>1108</v>
      </c>
    </row>
    <row r="1332" spans="1:18" x14ac:dyDescent="0.2">
      <c r="A1332" t="s">
        <v>234</v>
      </c>
      <c r="B1332" s="141">
        <f t="shared" si="20"/>
        <v>23.1</v>
      </c>
      <c r="C1332" s="280">
        <v>45786</v>
      </c>
      <c r="D1332" s="279">
        <v>45790</v>
      </c>
      <c r="E1332" s="279">
        <v>45790</v>
      </c>
      <c r="F1332" s="132"/>
      <c r="G1332" s="132" t="s">
        <v>1108</v>
      </c>
      <c r="H1332" s="132" t="s">
        <v>373</v>
      </c>
      <c r="I1332" s="132" t="s">
        <v>1100</v>
      </c>
      <c r="J1332" s="132" t="s">
        <v>3827</v>
      </c>
      <c r="K1332" s="132" t="s">
        <v>3828</v>
      </c>
      <c r="L1332" s="132" t="s">
        <v>3829</v>
      </c>
      <c r="M1332" s="132" t="s">
        <v>4190</v>
      </c>
      <c r="N1332" s="132" t="s">
        <v>1112</v>
      </c>
      <c r="O1332" s="132" t="s">
        <v>3391</v>
      </c>
      <c r="P1332" s="132" t="s">
        <v>4191</v>
      </c>
      <c r="Q1332" s="132" t="s">
        <v>4157</v>
      </c>
      <c r="R1332" s="132" t="s">
        <v>1108</v>
      </c>
    </row>
    <row r="1333" spans="1:18" x14ac:dyDescent="0.2">
      <c r="A1333" t="s">
        <v>235</v>
      </c>
      <c r="B1333" s="141">
        <f t="shared" si="20"/>
        <v>77.7</v>
      </c>
      <c r="C1333" s="280">
        <v>45787</v>
      </c>
      <c r="D1333" s="279">
        <v>45790</v>
      </c>
      <c r="E1333" s="279">
        <v>45790</v>
      </c>
      <c r="F1333" s="132"/>
      <c r="G1333" s="132" t="s">
        <v>1108</v>
      </c>
      <c r="H1333" s="132" t="s">
        <v>373</v>
      </c>
      <c r="I1333" s="132" t="s">
        <v>1100</v>
      </c>
      <c r="J1333" s="132" t="s">
        <v>4192</v>
      </c>
      <c r="K1333" s="132" t="s">
        <v>4193</v>
      </c>
      <c r="L1333" s="132" t="s">
        <v>4194</v>
      </c>
      <c r="M1333" s="132" t="s">
        <v>4195</v>
      </c>
      <c r="N1333" s="132" t="s">
        <v>1112</v>
      </c>
      <c r="O1333" s="132" t="s">
        <v>3391</v>
      </c>
      <c r="P1333" s="132" t="s">
        <v>4196</v>
      </c>
      <c r="Q1333" s="132" t="s">
        <v>4157</v>
      </c>
      <c r="R1333" s="132" t="s">
        <v>1108</v>
      </c>
    </row>
    <row r="1334" spans="1:18" x14ac:dyDescent="0.2">
      <c r="A1334" t="s">
        <v>234</v>
      </c>
      <c r="B1334" s="141">
        <f t="shared" si="20"/>
        <v>23.240000000000002</v>
      </c>
      <c r="C1334" s="280">
        <v>45787</v>
      </c>
      <c r="D1334" s="279">
        <v>45790</v>
      </c>
      <c r="E1334" s="279">
        <v>45790</v>
      </c>
      <c r="F1334" s="132"/>
      <c r="G1334" s="132" t="s">
        <v>1910</v>
      </c>
      <c r="H1334" s="132" t="s">
        <v>373</v>
      </c>
      <c r="I1334" s="132" t="s">
        <v>1100</v>
      </c>
      <c r="J1334" s="132" t="s">
        <v>3827</v>
      </c>
      <c r="K1334" s="132" t="s">
        <v>3834</v>
      </c>
      <c r="L1334" s="132" t="s">
        <v>3835</v>
      </c>
      <c r="M1334" s="132" t="s">
        <v>4197</v>
      </c>
      <c r="N1334" s="132" t="s">
        <v>1105</v>
      </c>
      <c r="O1334" s="132" t="s">
        <v>3391</v>
      </c>
      <c r="P1334" s="132" t="s">
        <v>4198</v>
      </c>
      <c r="Q1334" s="132" t="s">
        <v>4157</v>
      </c>
      <c r="R1334" s="132" t="s">
        <v>1108</v>
      </c>
    </row>
    <row r="1335" spans="1:18" x14ac:dyDescent="0.2">
      <c r="A1335" t="s">
        <v>234</v>
      </c>
      <c r="B1335" s="141">
        <f t="shared" ref="B1335:B1398" si="21">_xlfn.NUMBERVALUE(L1335)*0.01</f>
        <v>23.1</v>
      </c>
      <c r="C1335" s="280">
        <v>45787</v>
      </c>
      <c r="D1335" s="279">
        <v>45790</v>
      </c>
      <c r="E1335" s="279">
        <v>45790</v>
      </c>
      <c r="F1335" s="132"/>
      <c r="G1335" s="132" t="s">
        <v>1108</v>
      </c>
      <c r="H1335" s="132" t="s">
        <v>373</v>
      </c>
      <c r="I1335" s="132" t="s">
        <v>1100</v>
      </c>
      <c r="J1335" s="132" t="s">
        <v>3827</v>
      </c>
      <c r="K1335" s="132" t="s">
        <v>3828</v>
      </c>
      <c r="L1335" s="132" t="s">
        <v>3829</v>
      </c>
      <c r="M1335" s="132" t="s">
        <v>4199</v>
      </c>
      <c r="N1335" s="132" t="s">
        <v>1112</v>
      </c>
      <c r="O1335" s="132" t="s">
        <v>3391</v>
      </c>
      <c r="P1335" s="132" t="s">
        <v>4200</v>
      </c>
      <c r="Q1335" s="132" t="s">
        <v>4157</v>
      </c>
      <c r="R1335" s="132" t="s">
        <v>1108</v>
      </c>
    </row>
    <row r="1336" spans="1:18" x14ac:dyDescent="0.2">
      <c r="A1336" t="s">
        <v>234</v>
      </c>
      <c r="B1336" s="141">
        <f t="shared" si="21"/>
        <v>23.1</v>
      </c>
      <c r="C1336" s="280">
        <v>45787</v>
      </c>
      <c r="D1336" s="279">
        <v>45790</v>
      </c>
      <c r="E1336" s="279">
        <v>45790</v>
      </c>
      <c r="F1336" s="132"/>
      <c r="G1336" s="132" t="s">
        <v>1108</v>
      </c>
      <c r="H1336" s="132" t="s">
        <v>373</v>
      </c>
      <c r="I1336" s="132" t="s">
        <v>1100</v>
      </c>
      <c r="J1336" s="132" t="s">
        <v>3827</v>
      </c>
      <c r="K1336" s="132" t="s">
        <v>3828</v>
      </c>
      <c r="L1336" s="132" t="s">
        <v>3829</v>
      </c>
      <c r="M1336" s="132" t="s">
        <v>4201</v>
      </c>
      <c r="N1336" s="132" t="s">
        <v>1112</v>
      </c>
      <c r="O1336" s="132" t="s">
        <v>3391</v>
      </c>
      <c r="P1336" s="132" t="s">
        <v>4202</v>
      </c>
      <c r="Q1336" s="132" t="s">
        <v>4157</v>
      </c>
      <c r="R1336" s="132" t="s">
        <v>1108</v>
      </c>
    </row>
    <row r="1337" spans="1:18" x14ac:dyDescent="0.2">
      <c r="A1337" t="s">
        <v>234</v>
      </c>
      <c r="B1337" s="141">
        <f t="shared" si="21"/>
        <v>23.240000000000002</v>
      </c>
      <c r="C1337" s="280">
        <v>45787</v>
      </c>
      <c r="D1337" s="279">
        <v>45790</v>
      </c>
      <c r="E1337" s="279">
        <v>45790</v>
      </c>
      <c r="F1337" s="132"/>
      <c r="G1337" s="132" t="s">
        <v>1108</v>
      </c>
      <c r="H1337" s="132" t="s">
        <v>373</v>
      </c>
      <c r="I1337" s="132" t="s">
        <v>1100</v>
      </c>
      <c r="J1337" s="132" t="s">
        <v>3827</v>
      </c>
      <c r="K1337" s="132" t="s">
        <v>3834</v>
      </c>
      <c r="L1337" s="132" t="s">
        <v>3835</v>
      </c>
      <c r="M1337" s="132" t="s">
        <v>4203</v>
      </c>
      <c r="N1337" s="132" t="s">
        <v>1117</v>
      </c>
      <c r="O1337" s="132" t="s">
        <v>3391</v>
      </c>
      <c r="P1337" s="132" t="s">
        <v>4204</v>
      </c>
      <c r="Q1337" s="132" t="s">
        <v>4157</v>
      </c>
      <c r="R1337" s="132" t="s">
        <v>1108</v>
      </c>
    </row>
    <row r="1338" spans="1:18" x14ac:dyDescent="0.2">
      <c r="A1338" t="s">
        <v>234</v>
      </c>
      <c r="B1338" s="141">
        <f t="shared" si="21"/>
        <v>23.240000000000002</v>
      </c>
      <c r="C1338" s="280">
        <v>45787</v>
      </c>
      <c r="D1338" s="279">
        <v>45790</v>
      </c>
      <c r="E1338" s="279">
        <v>45790</v>
      </c>
      <c r="F1338" s="132"/>
      <c r="G1338" s="132" t="s">
        <v>1108</v>
      </c>
      <c r="H1338" s="132" t="s">
        <v>373</v>
      </c>
      <c r="I1338" s="132" t="s">
        <v>1100</v>
      </c>
      <c r="J1338" s="132" t="s">
        <v>3827</v>
      </c>
      <c r="K1338" s="132" t="s">
        <v>3834</v>
      </c>
      <c r="L1338" s="132" t="s">
        <v>3835</v>
      </c>
      <c r="M1338" s="132" t="s">
        <v>4205</v>
      </c>
      <c r="N1338" s="132" t="s">
        <v>1117</v>
      </c>
      <c r="O1338" s="132" t="s">
        <v>3391</v>
      </c>
      <c r="P1338" s="132" t="s">
        <v>4206</v>
      </c>
      <c r="Q1338" s="132" t="s">
        <v>4157</v>
      </c>
      <c r="R1338" s="132" t="s">
        <v>1108</v>
      </c>
    </row>
    <row r="1339" spans="1:18" x14ac:dyDescent="0.2">
      <c r="A1339" t="s">
        <v>234</v>
      </c>
      <c r="B1339" s="141">
        <f t="shared" si="21"/>
        <v>23.240000000000002</v>
      </c>
      <c r="C1339" s="280">
        <v>45787</v>
      </c>
      <c r="D1339" s="279">
        <v>45790</v>
      </c>
      <c r="E1339" s="279">
        <v>45790</v>
      </c>
      <c r="F1339" s="132"/>
      <c r="G1339" s="132" t="s">
        <v>1531</v>
      </c>
      <c r="H1339" s="132" t="s">
        <v>373</v>
      </c>
      <c r="I1339" s="132" t="s">
        <v>1100</v>
      </c>
      <c r="J1339" s="132" t="s">
        <v>3827</v>
      </c>
      <c r="K1339" s="132" t="s">
        <v>3834</v>
      </c>
      <c r="L1339" s="132" t="s">
        <v>3835</v>
      </c>
      <c r="M1339" s="132" t="s">
        <v>4207</v>
      </c>
      <c r="N1339" s="132" t="s">
        <v>1105</v>
      </c>
      <c r="O1339" s="132" t="s">
        <v>3391</v>
      </c>
      <c r="P1339" s="132" t="s">
        <v>4208</v>
      </c>
      <c r="Q1339" s="132" t="s">
        <v>4157</v>
      </c>
      <c r="R1339" s="132" t="s">
        <v>1108</v>
      </c>
    </row>
    <row r="1340" spans="1:18" x14ac:dyDescent="0.2">
      <c r="A1340" t="s">
        <v>235</v>
      </c>
      <c r="B1340" s="141">
        <f t="shared" si="21"/>
        <v>27</v>
      </c>
      <c r="C1340" s="280">
        <v>45787</v>
      </c>
      <c r="D1340" s="279">
        <v>45790</v>
      </c>
      <c r="E1340" s="279">
        <v>45790</v>
      </c>
      <c r="F1340" s="132"/>
      <c r="G1340" s="132" t="s">
        <v>1108</v>
      </c>
      <c r="H1340" s="132" t="s">
        <v>373</v>
      </c>
      <c r="I1340" s="132" t="s">
        <v>1100</v>
      </c>
      <c r="J1340" s="132" t="s">
        <v>3849</v>
      </c>
      <c r="K1340" s="132" t="s">
        <v>1714</v>
      </c>
      <c r="L1340" s="132" t="s">
        <v>4004</v>
      </c>
      <c r="M1340" s="132" t="s">
        <v>4209</v>
      </c>
      <c r="N1340" s="132" t="s">
        <v>1112</v>
      </c>
      <c r="O1340" s="132" t="s">
        <v>3391</v>
      </c>
      <c r="P1340" s="132" t="s">
        <v>4210</v>
      </c>
      <c r="Q1340" s="132" t="s">
        <v>4157</v>
      </c>
      <c r="R1340" s="132" t="s">
        <v>1108</v>
      </c>
    </row>
    <row r="1341" spans="1:18" x14ac:dyDescent="0.2">
      <c r="A1341" t="s">
        <v>265</v>
      </c>
      <c r="B1341" s="141">
        <f t="shared" si="21"/>
        <v>2.62</v>
      </c>
      <c r="C1341" s="280">
        <v>45787</v>
      </c>
      <c r="D1341" s="279">
        <v>45790</v>
      </c>
      <c r="E1341" s="279">
        <v>45790</v>
      </c>
      <c r="F1341" s="132"/>
      <c r="G1341" s="132" t="s">
        <v>1108</v>
      </c>
      <c r="H1341" s="132" t="s">
        <v>373</v>
      </c>
      <c r="I1341" s="132" t="s">
        <v>1100</v>
      </c>
      <c r="J1341" s="132" t="s">
        <v>3022</v>
      </c>
      <c r="K1341" s="132" t="s">
        <v>1742</v>
      </c>
      <c r="L1341" s="132" t="s">
        <v>3029</v>
      </c>
      <c r="M1341" s="132" t="s">
        <v>4211</v>
      </c>
      <c r="N1341" s="132" t="s">
        <v>1112</v>
      </c>
      <c r="O1341" s="132" t="s">
        <v>3391</v>
      </c>
      <c r="P1341" s="132" t="s">
        <v>4212</v>
      </c>
      <c r="Q1341" s="132" t="s">
        <v>4157</v>
      </c>
      <c r="R1341" s="132" t="s">
        <v>1108</v>
      </c>
    </row>
    <row r="1342" spans="1:18" x14ac:dyDescent="0.2">
      <c r="A1342" t="s">
        <v>266</v>
      </c>
      <c r="B1342" s="141">
        <f t="shared" si="21"/>
        <v>4.6000000000000005</v>
      </c>
      <c r="C1342" s="280">
        <v>45787</v>
      </c>
      <c r="D1342" s="279">
        <v>45790</v>
      </c>
      <c r="E1342" s="279">
        <v>45790</v>
      </c>
      <c r="F1342" s="132"/>
      <c r="G1342" s="132" t="s">
        <v>1108</v>
      </c>
      <c r="H1342" s="132" t="s">
        <v>373</v>
      </c>
      <c r="I1342" s="132" t="s">
        <v>1100</v>
      </c>
      <c r="J1342" s="132" t="s">
        <v>2671</v>
      </c>
      <c r="K1342" s="132" t="s">
        <v>2672</v>
      </c>
      <c r="L1342" s="132" t="s">
        <v>2673</v>
      </c>
      <c r="M1342" s="132" t="s">
        <v>4213</v>
      </c>
      <c r="N1342" s="132" t="s">
        <v>1117</v>
      </c>
      <c r="O1342" s="132" t="s">
        <v>3391</v>
      </c>
      <c r="P1342" s="132" t="s">
        <v>4214</v>
      </c>
      <c r="Q1342" s="132" t="s">
        <v>4157</v>
      </c>
      <c r="R1342" s="132" t="s">
        <v>1108</v>
      </c>
    </row>
    <row r="1343" spans="1:18" x14ac:dyDescent="0.2">
      <c r="A1343" t="s">
        <v>235</v>
      </c>
      <c r="B1343" s="141">
        <f t="shared" si="21"/>
        <v>27</v>
      </c>
      <c r="C1343" s="280">
        <v>45787</v>
      </c>
      <c r="D1343" s="279">
        <v>45790</v>
      </c>
      <c r="E1343" s="279">
        <v>45790</v>
      </c>
      <c r="F1343" s="132"/>
      <c r="G1343" s="132" t="s">
        <v>1108</v>
      </c>
      <c r="H1343" s="132" t="s">
        <v>373</v>
      </c>
      <c r="I1343" s="132" t="s">
        <v>1100</v>
      </c>
      <c r="J1343" s="132" t="s">
        <v>3849</v>
      </c>
      <c r="K1343" s="132" t="s">
        <v>1714</v>
      </c>
      <c r="L1343" s="132" t="s">
        <v>4004</v>
      </c>
      <c r="M1343" s="132" t="s">
        <v>4215</v>
      </c>
      <c r="N1343" s="132" t="s">
        <v>1112</v>
      </c>
      <c r="O1343" s="132" t="s">
        <v>3391</v>
      </c>
      <c r="P1343" s="132" t="s">
        <v>4216</v>
      </c>
      <c r="Q1343" s="132" t="s">
        <v>4157</v>
      </c>
      <c r="R1343" s="132" t="s">
        <v>1108</v>
      </c>
    </row>
    <row r="1344" spans="1:18" x14ac:dyDescent="0.2">
      <c r="A1344" t="s">
        <v>234</v>
      </c>
      <c r="B1344" s="141">
        <f t="shared" si="21"/>
        <v>23.240000000000002</v>
      </c>
      <c r="C1344" s="280">
        <v>45787</v>
      </c>
      <c r="D1344" s="279">
        <v>45790</v>
      </c>
      <c r="E1344" s="279">
        <v>45790</v>
      </c>
      <c r="F1344" s="132"/>
      <c r="G1344" s="132" t="s">
        <v>1108</v>
      </c>
      <c r="H1344" s="132" t="s">
        <v>373</v>
      </c>
      <c r="I1344" s="132" t="s">
        <v>1100</v>
      </c>
      <c r="J1344" s="132" t="s">
        <v>3827</v>
      </c>
      <c r="K1344" s="132" t="s">
        <v>3834</v>
      </c>
      <c r="L1344" s="132" t="s">
        <v>3835</v>
      </c>
      <c r="M1344" s="281" t="s">
        <v>4217</v>
      </c>
      <c r="N1344" s="132" t="s">
        <v>1117</v>
      </c>
      <c r="O1344" s="132" t="s">
        <v>3391</v>
      </c>
      <c r="P1344" s="132" t="s">
        <v>4218</v>
      </c>
      <c r="Q1344" s="132" t="s">
        <v>4157</v>
      </c>
      <c r="R1344" s="132" t="s">
        <v>1108</v>
      </c>
    </row>
    <row r="1345" spans="1:18" x14ac:dyDescent="0.2">
      <c r="A1345" t="s">
        <v>234</v>
      </c>
      <c r="B1345" s="141">
        <f t="shared" si="21"/>
        <v>23.240000000000002</v>
      </c>
      <c r="C1345" s="280">
        <v>45787</v>
      </c>
      <c r="D1345" s="279">
        <v>45790</v>
      </c>
      <c r="E1345" s="279">
        <v>45790</v>
      </c>
      <c r="F1345" s="132"/>
      <c r="G1345" s="132" t="s">
        <v>1108</v>
      </c>
      <c r="H1345" s="132" t="s">
        <v>373</v>
      </c>
      <c r="I1345" s="132" t="s">
        <v>1100</v>
      </c>
      <c r="J1345" s="132" t="s">
        <v>3827</v>
      </c>
      <c r="K1345" s="132" t="s">
        <v>3834</v>
      </c>
      <c r="L1345" s="132" t="s">
        <v>3835</v>
      </c>
      <c r="M1345" s="132" t="s">
        <v>4219</v>
      </c>
      <c r="N1345" s="132" t="s">
        <v>1117</v>
      </c>
      <c r="O1345" s="132" t="s">
        <v>3391</v>
      </c>
      <c r="P1345" s="132" t="s">
        <v>4220</v>
      </c>
      <c r="Q1345" s="132" t="s">
        <v>4157</v>
      </c>
      <c r="R1345" s="132" t="s">
        <v>1108</v>
      </c>
    </row>
    <row r="1346" spans="1:18" x14ac:dyDescent="0.2">
      <c r="A1346" t="s">
        <v>234</v>
      </c>
      <c r="B1346" s="141">
        <f t="shared" si="21"/>
        <v>23.240000000000002</v>
      </c>
      <c r="C1346" s="280">
        <v>45788</v>
      </c>
      <c r="D1346" s="279">
        <v>45790</v>
      </c>
      <c r="E1346" s="279">
        <v>45790</v>
      </c>
      <c r="F1346" s="132"/>
      <c r="G1346" s="132" t="s">
        <v>1813</v>
      </c>
      <c r="H1346" s="132" t="s">
        <v>373</v>
      </c>
      <c r="I1346" s="132" t="s">
        <v>1100</v>
      </c>
      <c r="J1346" s="132" t="s">
        <v>3827</v>
      </c>
      <c r="K1346" s="132" t="s">
        <v>3834</v>
      </c>
      <c r="L1346" s="132" t="s">
        <v>3835</v>
      </c>
      <c r="M1346" s="132" t="s">
        <v>4221</v>
      </c>
      <c r="N1346" s="132" t="s">
        <v>1105</v>
      </c>
      <c r="O1346" s="132" t="s">
        <v>3391</v>
      </c>
      <c r="P1346" s="132" t="s">
        <v>4222</v>
      </c>
      <c r="Q1346" s="132" t="s">
        <v>4157</v>
      </c>
      <c r="R1346" s="132" t="s">
        <v>1108</v>
      </c>
    </row>
    <row r="1347" spans="1:18" x14ac:dyDescent="0.2">
      <c r="A1347" t="s">
        <v>234</v>
      </c>
      <c r="B1347" s="141">
        <f t="shared" si="21"/>
        <v>23.1</v>
      </c>
      <c r="C1347" s="280">
        <v>45788</v>
      </c>
      <c r="D1347" s="279">
        <v>45790</v>
      </c>
      <c r="E1347" s="279">
        <v>45790</v>
      </c>
      <c r="F1347" s="132"/>
      <c r="G1347" s="132" t="s">
        <v>1108</v>
      </c>
      <c r="H1347" s="132" t="s">
        <v>373</v>
      </c>
      <c r="I1347" s="132" t="s">
        <v>1100</v>
      </c>
      <c r="J1347" s="132" t="s">
        <v>3827</v>
      </c>
      <c r="K1347" s="132" t="s">
        <v>3828</v>
      </c>
      <c r="L1347" s="132" t="s">
        <v>3829</v>
      </c>
      <c r="M1347" s="132" t="s">
        <v>4223</v>
      </c>
      <c r="N1347" s="132" t="s">
        <v>1112</v>
      </c>
      <c r="O1347" s="132" t="s">
        <v>3391</v>
      </c>
      <c r="P1347" s="132" t="s">
        <v>4224</v>
      </c>
      <c r="Q1347" s="132" t="s">
        <v>4157</v>
      </c>
      <c r="R1347" s="132" t="s">
        <v>1108</v>
      </c>
    </row>
    <row r="1348" spans="1:18" x14ac:dyDescent="0.2">
      <c r="A1348" t="s">
        <v>234</v>
      </c>
      <c r="B1348" s="141">
        <f t="shared" si="21"/>
        <v>23.240000000000002</v>
      </c>
      <c r="C1348" s="280">
        <v>45788</v>
      </c>
      <c r="D1348" s="279">
        <v>45790</v>
      </c>
      <c r="E1348" s="279">
        <v>45790</v>
      </c>
      <c r="F1348" s="132"/>
      <c r="G1348" s="132" t="s">
        <v>1108</v>
      </c>
      <c r="H1348" s="132" t="s">
        <v>373</v>
      </c>
      <c r="I1348" s="132" t="s">
        <v>1100</v>
      </c>
      <c r="J1348" s="132" t="s">
        <v>3827</v>
      </c>
      <c r="K1348" s="132" t="s">
        <v>3834</v>
      </c>
      <c r="L1348" s="132" t="s">
        <v>3835</v>
      </c>
      <c r="M1348" s="132" t="s">
        <v>4225</v>
      </c>
      <c r="N1348" s="132" t="s">
        <v>1117</v>
      </c>
      <c r="O1348" s="132" t="s">
        <v>3391</v>
      </c>
      <c r="P1348" s="132" t="s">
        <v>4226</v>
      </c>
      <c r="Q1348" s="132" t="s">
        <v>4157</v>
      </c>
      <c r="R1348" s="132" t="s">
        <v>1108</v>
      </c>
    </row>
    <row r="1349" spans="1:18" x14ac:dyDescent="0.2">
      <c r="A1349" t="s">
        <v>234</v>
      </c>
      <c r="B1349" s="141">
        <f t="shared" si="21"/>
        <v>23.240000000000002</v>
      </c>
      <c r="C1349" s="280">
        <v>45788</v>
      </c>
      <c r="D1349" s="279">
        <v>45790</v>
      </c>
      <c r="E1349" s="279">
        <v>45790</v>
      </c>
      <c r="F1349" s="132"/>
      <c r="G1349" s="132" t="s">
        <v>1108</v>
      </c>
      <c r="H1349" s="132" t="s">
        <v>373</v>
      </c>
      <c r="I1349" s="132" t="s">
        <v>1100</v>
      </c>
      <c r="J1349" s="132" t="s">
        <v>3827</v>
      </c>
      <c r="K1349" s="132" t="s">
        <v>3834</v>
      </c>
      <c r="L1349" s="132" t="s">
        <v>3835</v>
      </c>
      <c r="M1349" s="132" t="s">
        <v>4227</v>
      </c>
      <c r="N1349" s="132" t="s">
        <v>1117</v>
      </c>
      <c r="O1349" s="132" t="s">
        <v>3391</v>
      </c>
      <c r="P1349" s="132" t="s">
        <v>4228</v>
      </c>
      <c r="Q1349" s="132" t="s">
        <v>4157</v>
      </c>
      <c r="R1349" s="132" t="s">
        <v>1108</v>
      </c>
    </row>
    <row r="1350" spans="1:18" x14ac:dyDescent="0.2">
      <c r="A1350" t="s">
        <v>234</v>
      </c>
      <c r="B1350" s="141">
        <f t="shared" si="21"/>
        <v>23.240000000000002</v>
      </c>
      <c r="C1350" s="280">
        <v>45788</v>
      </c>
      <c r="D1350" s="279">
        <v>45790</v>
      </c>
      <c r="E1350" s="279">
        <v>45790</v>
      </c>
      <c r="F1350" s="132"/>
      <c r="G1350" s="132" t="s">
        <v>3225</v>
      </c>
      <c r="H1350" s="132" t="s">
        <v>373</v>
      </c>
      <c r="I1350" s="132" t="s">
        <v>1100</v>
      </c>
      <c r="J1350" s="132" t="s">
        <v>3827</v>
      </c>
      <c r="K1350" s="132" t="s">
        <v>3834</v>
      </c>
      <c r="L1350" s="132" t="s">
        <v>3835</v>
      </c>
      <c r="M1350" s="132" t="s">
        <v>4229</v>
      </c>
      <c r="N1350" s="132" t="s">
        <v>1105</v>
      </c>
      <c r="O1350" s="132" t="s">
        <v>3391</v>
      </c>
      <c r="P1350" s="132" t="s">
        <v>4230</v>
      </c>
      <c r="Q1350" s="132" t="s">
        <v>4157</v>
      </c>
      <c r="R1350" s="132" t="s">
        <v>1108</v>
      </c>
    </row>
    <row r="1351" spans="1:18" x14ac:dyDescent="0.2">
      <c r="A1351" t="s">
        <v>234</v>
      </c>
      <c r="B1351" s="141">
        <f t="shared" si="21"/>
        <v>23.1</v>
      </c>
      <c r="C1351" s="280">
        <v>45788</v>
      </c>
      <c r="D1351" s="279">
        <v>45790</v>
      </c>
      <c r="E1351" s="279">
        <v>45790</v>
      </c>
      <c r="F1351" s="132"/>
      <c r="G1351" s="132" t="s">
        <v>1108</v>
      </c>
      <c r="H1351" s="132" t="s">
        <v>373</v>
      </c>
      <c r="I1351" s="132" t="s">
        <v>1100</v>
      </c>
      <c r="J1351" s="132" t="s">
        <v>3827</v>
      </c>
      <c r="K1351" s="132" t="s">
        <v>3828</v>
      </c>
      <c r="L1351" s="132" t="s">
        <v>3829</v>
      </c>
      <c r="M1351" s="132" t="s">
        <v>4231</v>
      </c>
      <c r="N1351" s="132" t="s">
        <v>1112</v>
      </c>
      <c r="O1351" s="132" t="s">
        <v>3391</v>
      </c>
      <c r="P1351" s="132" t="s">
        <v>4232</v>
      </c>
      <c r="Q1351" s="132" t="s">
        <v>4157</v>
      </c>
      <c r="R1351" s="132" t="s">
        <v>1108</v>
      </c>
    </row>
    <row r="1352" spans="1:18" x14ac:dyDescent="0.2">
      <c r="A1352" t="s">
        <v>234</v>
      </c>
      <c r="B1352" s="141">
        <f t="shared" si="21"/>
        <v>23.1</v>
      </c>
      <c r="C1352" s="280">
        <v>45788</v>
      </c>
      <c r="D1352" s="279">
        <v>45790</v>
      </c>
      <c r="E1352" s="279">
        <v>45790</v>
      </c>
      <c r="F1352" s="132"/>
      <c r="G1352" s="132" t="s">
        <v>1108</v>
      </c>
      <c r="H1352" s="132" t="s">
        <v>373</v>
      </c>
      <c r="I1352" s="132" t="s">
        <v>1100</v>
      </c>
      <c r="J1352" s="132" t="s">
        <v>3827</v>
      </c>
      <c r="K1352" s="132" t="s">
        <v>3828</v>
      </c>
      <c r="L1352" s="132" t="s">
        <v>3829</v>
      </c>
      <c r="M1352" s="132" t="s">
        <v>4233</v>
      </c>
      <c r="N1352" s="132" t="s">
        <v>1112</v>
      </c>
      <c r="O1352" s="132" t="s">
        <v>3391</v>
      </c>
      <c r="P1352" s="132" t="s">
        <v>4234</v>
      </c>
      <c r="Q1352" s="132" t="s">
        <v>4157</v>
      </c>
      <c r="R1352" s="132" t="s">
        <v>1108</v>
      </c>
    </row>
    <row r="1353" spans="1:18" x14ac:dyDescent="0.2">
      <c r="A1353" t="s">
        <v>234</v>
      </c>
      <c r="B1353" s="141">
        <f t="shared" si="21"/>
        <v>23.1</v>
      </c>
      <c r="C1353" s="280">
        <v>45788</v>
      </c>
      <c r="D1353" s="279">
        <v>45790</v>
      </c>
      <c r="E1353" s="279">
        <v>45790</v>
      </c>
      <c r="F1353" s="132"/>
      <c r="G1353" s="132" t="s">
        <v>1108</v>
      </c>
      <c r="H1353" s="132" t="s">
        <v>373</v>
      </c>
      <c r="I1353" s="132" t="s">
        <v>1100</v>
      </c>
      <c r="J1353" s="132" t="s">
        <v>3827</v>
      </c>
      <c r="K1353" s="132" t="s">
        <v>3828</v>
      </c>
      <c r="L1353" s="132" t="s">
        <v>3829</v>
      </c>
      <c r="M1353" s="132" t="s">
        <v>4235</v>
      </c>
      <c r="N1353" s="132" t="s">
        <v>1112</v>
      </c>
      <c r="O1353" s="132" t="s">
        <v>3391</v>
      </c>
      <c r="P1353" s="132" t="s">
        <v>4236</v>
      </c>
      <c r="Q1353" s="132" t="s">
        <v>4157</v>
      </c>
      <c r="R1353" s="132" t="s">
        <v>1108</v>
      </c>
    </row>
    <row r="1354" spans="1:18" x14ac:dyDescent="0.2">
      <c r="A1354" t="s">
        <v>234</v>
      </c>
      <c r="B1354" s="141">
        <f t="shared" si="21"/>
        <v>23.1</v>
      </c>
      <c r="C1354" s="280">
        <v>45789</v>
      </c>
      <c r="D1354" s="279">
        <v>45791</v>
      </c>
      <c r="E1354" s="279">
        <v>45791</v>
      </c>
      <c r="F1354" s="132"/>
      <c r="G1354" s="132" t="s">
        <v>1108</v>
      </c>
      <c r="H1354" s="132" t="s">
        <v>373</v>
      </c>
      <c r="I1354" s="132" t="s">
        <v>1100</v>
      </c>
      <c r="J1354" s="132" t="s">
        <v>3827</v>
      </c>
      <c r="K1354" s="132" t="s">
        <v>3828</v>
      </c>
      <c r="L1354" s="132" t="s">
        <v>3829</v>
      </c>
      <c r="M1354" s="132" t="s">
        <v>4237</v>
      </c>
      <c r="N1354" s="132" t="s">
        <v>1112</v>
      </c>
      <c r="O1354" s="132" t="s">
        <v>3391</v>
      </c>
      <c r="P1354" s="132" t="s">
        <v>4238</v>
      </c>
      <c r="Q1354" s="132" t="s">
        <v>4239</v>
      </c>
      <c r="R1354" s="132" t="s">
        <v>1108</v>
      </c>
    </row>
    <row r="1355" spans="1:18" x14ac:dyDescent="0.2">
      <c r="A1355" t="s">
        <v>234</v>
      </c>
      <c r="B1355" s="141">
        <f t="shared" si="21"/>
        <v>23.240000000000002</v>
      </c>
      <c r="C1355" s="280">
        <v>45789</v>
      </c>
      <c r="D1355" s="279">
        <v>45791</v>
      </c>
      <c r="E1355" s="279">
        <v>45791</v>
      </c>
      <c r="F1355" s="132"/>
      <c r="G1355" s="132" t="s">
        <v>1108</v>
      </c>
      <c r="H1355" s="132" t="s">
        <v>373</v>
      </c>
      <c r="I1355" s="132" t="s">
        <v>1100</v>
      </c>
      <c r="J1355" s="132" t="s">
        <v>3827</v>
      </c>
      <c r="K1355" s="132" t="s">
        <v>3834</v>
      </c>
      <c r="L1355" s="132" t="s">
        <v>3835</v>
      </c>
      <c r="M1355" s="132" t="s">
        <v>4240</v>
      </c>
      <c r="N1355" s="132" t="s">
        <v>1117</v>
      </c>
      <c r="O1355" s="132" t="s">
        <v>3391</v>
      </c>
      <c r="P1355" s="132" t="s">
        <v>4241</v>
      </c>
      <c r="Q1355" s="132" t="s">
        <v>4239</v>
      </c>
      <c r="R1355" s="132" t="s">
        <v>1108</v>
      </c>
    </row>
    <row r="1356" spans="1:18" x14ac:dyDescent="0.2">
      <c r="A1356" t="s">
        <v>234</v>
      </c>
      <c r="B1356" s="141">
        <f t="shared" si="21"/>
        <v>23.240000000000002</v>
      </c>
      <c r="C1356" s="280">
        <v>45789</v>
      </c>
      <c r="D1356" s="279">
        <v>45791</v>
      </c>
      <c r="E1356" s="279">
        <v>45791</v>
      </c>
      <c r="F1356" s="132"/>
      <c r="G1356" s="132" t="s">
        <v>2462</v>
      </c>
      <c r="H1356" s="132" t="s">
        <v>373</v>
      </c>
      <c r="I1356" s="132" t="s">
        <v>1100</v>
      </c>
      <c r="J1356" s="132" t="s">
        <v>3827</v>
      </c>
      <c r="K1356" s="132" t="s">
        <v>3834</v>
      </c>
      <c r="L1356" s="132" t="s">
        <v>3835</v>
      </c>
      <c r="M1356" s="132" t="s">
        <v>4242</v>
      </c>
      <c r="N1356" s="132" t="s">
        <v>1105</v>
      </c>
      <c r="O1356" s="132" t="s">
        <v>3391</v>
      </c>
      <c r="P1356" s="132" t="s">
        <v>4243</v>
      </c>
      <c r="Q1356" s="132" t="s">
        <v>4239</v>
      </c>
      <c r="R1356" s="132" t="s">
        <v>1108</v>
      </c>
    </row>
    <row r="1357" spans="1:18" x14ac:dyDescent="0.2">
      <c r="A1357" t="s">
        <v>234</v>
      </c>
      <c r="B1357" s="141">
        <f t="shared" si="21"/>
        <v>23.240000000000002</v>
      </c>
      <c r="C1357" s="280">
        <v>45789</v>
      </c>
      <c r="D1357" s="279">
        <v>45791</v>
      </c>
      <c r="E1357" s="279">
        <v>45791</v>
      </c>
      <c r="F1357" s="132"/>
      <c r="G1357" s="132" t="s">
        <v>1108</v>
      </c>
      <c r="H1357" s="132" t="s">
        <v>373</v>
      </c>
      <c r="I1357" s="132" t="s">
        <v>1100</v>
      </c>
      <c r="J1357" s="132" t="s">
        <v>3827</v>
      </c>
      <c r="K1357" s="132" t="s">
        <v>3834</v>
      </c>
      <c r="L1357" s="132" t="s">
        <v>3835</v>
      </c>
      <c r="M1357" s="132" t="s">
        <v>4244</v>
      </c>
      <c r="N1357" s="132" t="s">
        <v>1117</v>
      </c>
      <c r="O1357" s="132" t="s">
        <v>3391</v>
      </c>
      <c r="P1357" s="132" t="s">
        <v>4245</v>
      </c>
      <c r="Q1357" s="132" t="s">
        <v>4239</v>
      </c>
      <c r="R1357" s="132" t="s">
        <v>1108</v>
      </c>
    </row>
    <row r="1358" spans="1:18" x14ac:dyDescent="0.2">
      <c r="A1358" t="s">
        <v>234</v>
      </c>
      <c r="B1358" s="141">
        <f t="shared" si="21"/>
        <v>23.1</v>
      </c>
      <c r="C1358" s="280">
        <v>45789</v>
      </c>
      <c r="D1358" s="279">
        <v>45791</v>
      </c>
      <c r="E1358" s="279">
        <v>45791</v>
      </c>
      <c r="F1358" s="132"/>
      <c r="G1358" s="132" t="s">
        <v>1108</v>
      </c>
      <c r="H1358" s="132" t="s">
        <v>373</v>
      </c>
      <c r="I1358" s="132" t="s">
        <v>1100</v>
      </c>
      <c r="J1358" s="132" t="s">
        <v>3827</v>
      </c>
      <c r="K1358" s="132" t="s">
        <v>3828</v>
      </c>
      <c r="L1358" s="132" t="s">
        <v>3829</v>
      </c>
      <c r="M1358" s="132" t="s">
        <v>4246</v>
      </c>
      <c r="N1358" s="132" t="s">
        <v>1112</v>
      </c>
      <c r="O1358" s="132" t="s">
        <v>3391</v>
      </c>
      <c r="P1358" s="132" t="s">
        <v>4247</v>
      </c>
      <c r="Q1358" s="132" t="s">
        <v>4239</v>
      </c>
      <c r="R1358" s="132" t="s">
        <v>1108</v>
      </c>
    </row>
    <row r="1359" spans="1:18" x14ac:dyDescent="0.2">
      <c r="A1359" t="s">
        <v>235</v>
      </c>
      <c r="B1359" s="141">
        <f t="shared" si="21"/>
        <v>27</v>
      </c>
      <c r="C1359" s="280">
        <v>45789</v>
      </c>
      <c r="D1359" s="279">
        <v>45791</v>
      </c>
      <c r="E1359" s="279">
        <v>45791</v>
      </c>
      <c r="F1359" s="132"/>
      <c r="G1359" s="132" t="s">
        <v>1108</v>
      </c>
      <c r="H1359" s="132" t="s">
        <v>373</v>
      </c>
      <c r="I1359" s="132" t="s">
        <v>1100</v>
      </c>
      <c r="J1359" s="132" t="s">
        <v>3849</v>
      </c>
      <c r="K1359" s="132" t="s">
        <v>1714</v>
      </c>
      <c r="L1359" s="132" t="s">
        <v>4004</v>
      </c>
      <c r="M1359" s="132" t="s">
        <v>4248</v>
      </c>
      <c r="N1359" s="132" t="s">
        <v>1112</v>
      </c>
      <c r="O1359" s="132" t="s">
        <v>3391</v>
      </c>
      <c r="P1359" s="132" t="s">
        <v>4249</v>
      </c>
      <c r="Q1359" s="132" t="s">
        <v>4239</v>
      </c>
      <c r="R1359" s="132" t="s">
        <v>1108</v>
      </c>
    </row>
    <row r="1360" spans="1:18" x14ac:dyDescent="0.2">
      <c r="A1360" t="s">
        <v>235</v>
      </c>
      <c r="B1360" s="141">
        <f t="shared" si="21"/>
        <v>27</v>
      </c>
      <c r="C1360" s="280">
        <v>45789</v>
      </c>
      <c r="D1360" s="279">
        <v>45791</v>
      </c>
      <c r="E1360" s="279">
        <v>45791</v>
      </c>
      <c r="F1360" s="132"/>
      <c r="G1360" s="132" t="s">
        <v>1108</v>
      </c>
      <c r="H1360" s="132" t="s">
        <v>373</v>
      </c>
      <c r="I1360" s="132" t="s">
        <v>1100</v>
      </c>
      <c r="J1360" s="132" t="s">
        <v>3849</v>
      </c>
      <c r="K1360" s="132" t="s">
        <v>1714</v>
      </c>
      <c r="L1360" s="132" t="s">
        <v>4004</v>
      </c>
      <c r="M1360" s="132" t="s">
        <v>4250</v>
      </c>
      <c r="N1360" s="132" t="s">
        <v>1112</v>
      </c>
      <c r="O1360" s="132" t="s">
        <v>3391</v>
      </c>
      <c r="P1360" s="132" t="s">
        <v>4251</v>
      </c>
      <c r="Q1360" s="132" t="s">
        <v>4239</v>
      </c>
      <c r="R1360" s="132" t="s">
        <v>1108</v>
      </c>
    </row>
    <row r="1361" spans="1:18" x14ac:dyDescent="0.2">
      <c r="A1361" t="s">
        <v>234</v>
      </c>
      <c r="B1361" s="141">
        <f t="shared" si="21"/>
        <v>23.1</v>
      </c>
      <c r="C1361" s="280">
        <v>45789</v>
      </c>
      <c r="D1361" s="279">
        <v>45791</v>
      </c>
      <c r="E1361" s="279">
        <v>45791</v>
      </c>
      <c r="F1361" s="132"/>
      <c r="G1361" s="132" t="s">
        <v>1108</v>
      </c>
      <c r="H1361" s="132" t="s">
        <v>373</v>
      </c>
      <c r="I1361" s="132" t="s">
        <v>1100</v>
      </c>
      <c r="J1361" s="132" t="s">
        <v>3827</v>
      </c>
      <c r="K1361" s="132" t="s">
        <v>3828</v>
      </c>
      <c r="L1361" s="132" t="s">
        <v>3829</v>
      </c>
      <c r="M1361" s="132" t="s">
        <v>4252</v>
      </c>
      <c r="N1361" s="132" t="s">
        <v>1112</v>
      </c>
      <c r="O1361" s="132" t="s">
        <v>3391</v>
      </c>
      <c r="P1361" s="132" t="s">
        <v>4253</v>
      </c>
      <c r="Q1361" s="132" t="s">
        <v>4239</v>
      </c>
      <c r="R1361" s="132" t="s">
        <v>1108</v>
      </c>
    </row>
    <row r="1362" spans="1:18" x14ac:dyDescent="0.2">
      <c r="A1362" t="s">
        <v>234</v>
      </c>
      <c r="B1362" s="141">
        <f t="shared" si="21"/>
        <v>23.1</v>
      </c>
      <c r="C1362" s="280">
        <v>45789</v>
      </c>
      <c r="D1362" s="279">
        <v>45791</v>
      </c>
      <c r="E1362" s="279">
        <v>45791</v>
      </c>
      <c r="F1362" s="132"/>
      <c r="G1362" s="132" t="s">
        <v>1108</v>
      </c>
      <c r="H1362" s="132" t="s">
        <v>373</v>
      </c>
      <c r="I1362" s="132" t="s">
        <v>1100</v>
      </c>
      <c r="J1362" s="132" t="s">
        <v>3827</v>
      </c>
      <c r="K1362" s="132" t="s">
        <v>3828</v>
      </c>
      <c r="L1362" s="132" t="s">
        <v>3829</v>
      </c>
      <c r="M1362" s="132" t="s">
        <v>4254</v>
      </c>
      <c r="N1362" s="132" t="s">
        <v>1112</v>
      </c>
      <c r="O1362" s="132" t="s">
        <v>3391</v>
      </c>
      <c r="P1362" s="132" t="s">
        <v>4255</v>
      </c>
      <c r="Q1362" s="132" t="s">
        <v>4239</v>
      </c>
      <c r="R1362" s="132" t="s">
        <v>1108</v>
      </c>
    </row>
    <row r="1363" spans="1:18" x14ac:dyDescent="0.2">
      <c r="A1363" t="s">
        <v>234</v>
      </c>
      <c r="B1363" s="141">
        <f t="shared" si="21"/>
        <v>23.240000000000002</v>
      </c>
      <c r="C1363" s="280">
        <v>45789</v>
      </c>
      <c r="D1363" s="279">
        <v>45791</v>
      </c>
      <c r="E1363" s="279">
        <v>45791</v>
      </c>
      <c r="F1363" s="132"/>
      <c r="G1363" s="132" t="s">
        <v>1108</v>
      </c>
      <c r="H1363" s="132" t="s">
        <v>373</v>
      </c>
      <c r="I1363" s="132" t="s">
        <v>1100</v>
      </c>
      <c r="J1363" s="132" t="s">
        <v>3827</v>
      </c>
      <c r="K1363" s="132" t="s">
        <v>3834</v>
      </c>
      <c r="L1363" s="132" t="s">
        <v>3835</v>
      </c>
      <c r="M1363" s="132" t="s">
        <v>4256</v>
      </c>
      <c r="N1363" s="132" t="s">
        <v>1117</v>
      </c>
      <c r="O1363" s="132" t="s">
        <v>3391</v>
      </c>
      <c r="P1363" s="132" t="s">
        <v>4257</v>
      </c>
      <c r="Q1363" s="132" t="s">
        <v>4239</v>
      </c>
      <c r="R1363" s="132" t="s">
        <v>1108</v>
      </c>
    </row>
    <row r="1364" spans="1:18" x14ac:dyDescent="0.2">
      <c r="A1364" t="s">
        <v>234</v>
      </c>
      <c r="B1364" s="141">
        <f t="shared" si="21"/>
        <v>23.240000000000002</v>
      </c>
      <c r="C1364" s="280">
        <v>45789</v>
      </c>
      <c r="D1364" s="279">
        <v>45791</v>
      </c>
      <c r="E1364" s="279">
        <v>45791</v>
      </c>
      <c r="F1364" s="132"/>
      <c r="G1364" s="132" t="s">
        <v>1312</v>
      </c>
      <c r="H1364" s="132" t="s">
        <v>373</v>
      </c>
      <c r="I1364" s="132" t="s">
        <v>1100</v>
      </c>
      <c r="J1364" s="132" t="s">
        <v>3827</v>
      </c>
      <c r="K1364" s="132" t="s">
        <v>3834</v>
      </c>
      <c r="L1364" s="132" t="s">
        <v>3835</v>
      </c>
      <c r="M1364" s="132" t="s">
        <v>4258</v>
      </c>
      <c r="N1364" s="132" t="s">
        <v>1105</v>
      </c>
      <c r="O1364" s="132" t="s">
        <v>3391</v>
      </c>
      <c r="P1364" s="132" t="s">
        <v>4259</v>
      </c>
      <c r="Q1364" s="132" t="s">
        <v>4239</v>
      </c>
      <c r="R1364" s="132" t="s">
        <v>1108</v>
      </c>
    </row>
    <row r="1365" spans="1:18" x14ac:dyDescent="0.2">
      <c r="A1365" t="s">
        <v>234</v>
      </c>
      <c r="B1365" s="141">
        <f t="shared" si="21"/>
        <v>23.1</v>
      </c>
      <c r="C1365" s="280">
        <v>45789</v>
      </c>
      <c r="D1365" s="279">
        <v>45791</v>
      </c>
      <c r="E1365" s="279">
        <v>45791</v>
      </c>
      <c r="F1365" s="132"/>
      <c r="G1365" s="132" t="s">
        <v>1108</v>
      </c>
      <c r="H1365" s="132" t="s">
        <v>373</v>
      </c>
      <c r="I1365" s="132" t="s">
        <v>1100</v>
      </c>
      <c r="J1365" s="132" t="s">
        <v>3827</v>
      </c>
      <c r="K1365" s="132" t="s">
        <v>3828</v>
      </c>
      <c r="L1365" s="132" t="s">
        <v>3829</v>
      </c>
      <c r="M1365" s="132" t="s">
        <v>4260</v>
      </c>
      <c r="N1365" s="132" t="s">
        <v>1112</v>
      </c>
      <c r="O1365" s="132" t="s">
        <v>3391</v>
      </c>
      <c r="P1365" s="132" t="s">
        <v>4261</v>
      </c>
      <c r="Q1365" s="132" t="s">
        <v>4239</v>
      </c>
      <c r="R1365" s="132" t="s">
        <v>1108</v>
      </c>
    </row>
    <row r="1366" spans="1:18" x14ac:dyDescent="0.2">
      <c r="A1366" t="s">
        <v>234</v>
      </c>
      <c r="B1366" s="141">
        <f t="shared" si="21"/>
        <v>23.240000000000002</v>
      </c>
      <c r="C1366" s="280">
        <v>45789</v>
      </c>
      <c r="D1366" s="279">
        <v>45791</v>
      </c>
      <c r="E1366" s="279">
        <v>45791</v>
      </c>
      <c r="F1366" s="132"/>
      <c r="G1366" s="132" t="s">
        <v>1108</v>
      </c>
      <c r="H1366" s="132" t="s">
        <v>373</v>
      </c>
      <c r="I1366" s="132" t="s">
        <v>1100</v>
      </c>
      <c r="J1366" s="132" t="s">
        <v>3827</v>
      </c>
      <c r="K1366" s="132" t="s">
        <v>3834</v>
      </c>
      <c r="L1366" s="132" t="s">
        <v>3835</v>
      </c>
      <c r="M1366" s="132" t="s">
        <v>4262</v>
      </c>
      <c r="N1366" s="132" t="s">
        <v>1117</v>
      </c>
      <c r="O1366" s="132" t="s">
        <v>3391</v>
      </c>
      <c r="P1366" s="132" t="s">
        <v>4263</v>
      </c>
      <c r="Q1366" s="132" t="s">
        <v>4239</v>
      </c>
      <c r="R1366" s="132" t="s">
        <v>1108</v>
      </c>
    </row>
    <row r="1367" spans="1:18" x14ac:dyDescent="0.2">
      <c r="A1367" t="s">
        <v>234</v>
      </c>
      <c r="B1367" s="141">
        <f t="shared" si="21"/>
        <v>23.240000000000002</v>
      </c>
      <c r="C1367" s="280">
        <v>45789</v>
      </c>
      <c r="D1367" s="279">
        <v>45791</v>
      </c>
      <c r="E1367" s="279">
        <v>45791</v>
      </c>
      <c r="F1367" s="132"/>
      <c r="G1367" s="132" t="s">
        <v>1108</v>
      </c>
      <c r="H1367" s="132" t="s">
        <v>373</v>
      </c>
      <c r="I1367" s="132" t="s">
        <v>1100</v>
      </c>
      <c r="J1367" s="132" t="s">
        <v>3827</v>
      </c>
      <c r="K1367" s="132" t="s">
        <v>3834</v>
      </c>
      <c r="L1367" s="132" t="s">
        <v>3835</v>
      </c>
      <c r="M1367" s="132" t="s">
        <v>4264</v>
      </c>
      <c r="N1367" s="132" t="s">
        <v>1117</v>
      </c>
      <c r="O1367" s="132" t="s">
        <v>3391</v>
      </c>
      <c r="P1367" s="132" t="s">
        <v>4265</v>
      </c>
      <c r="Q1367" s="132" t="s">
        <v>4239</v>
      </c>
      <c r="R1367" s="132" t="s">
        <v>1108</v>
      </c>
    </row>
    <row r="1368" spans="1:18" x14ac:dyDescent="0.2">
      <c r="A1368" t="s">
        <v>235</v>
      </c>
      <c r="B1368" s="141">
        <f t="shared" si="21"/>
        <v>27</v>
      </c>
      <c r="C1368" s="280">
        <v>45789</v>
      </c>
      <c r="D1368" s="279">
        <v>45791</v>
      </c>
      <c r="E1368" s="279">
        <v>45791</v>
      </c>
      <c r="F1368" s="132"/>
      <c r="G1368" s="132" t="s">
        <v>1108</v>
      </c>
      <c r="H1368" s="132" t="s">
        <v>373</v>
      </c>
      <c r="I1368" s="132" t="s">
        <v>1100</v>
      </c>
      <c r="J1368" s="132" t="s">
        <v>3849</v>
      </c>
      <c r="K1368" s="132" t="s">
        <v>1714</v>
      </c>
      <c r="L1368" s="132" t="s">
        <v>4004</v>
      </c>
      <c r="M1368" s="132" t="s">
        <v>4266</v>
      </c>
      <c r="N1368" s="132" t="s">
        <v>1112</v>
      </c>
      <c r="O1368" s="132" t="s">
        <v>3391</v>
      </c>
      <c r="P1368" s="132" t="s">
        <v>4267</v>
      </c>
      <c r="Q1368" s="132" t="s">
        <v>4239</v>
      </c>
      <c r="R1368" s="132" t="s">
        <v>1108</v>
      </c>
    </row>
    <row r="1369" spans="1:18" x14ac:dyDescent="0.2">
      <c r="A1369" t="s">
        <v>235</v>
      </c>
      <c r="B1369" s="141">
        <f t="shared" si="21"/>
        <v>27.17</v>
      </c>
      <c r="C1369" s="280">
        <v>45790</v>
      </c>
      <c r="D1369" s="279">
        <v>45791</v>
      </c>
      <c r="E1369" s="279">
        <v>45791</v>
      </c>
      <c r="F1369" s="132"/>
      <c r="G1369" s="132" t="s">
        <v>1108</v>
      </c>
      <c r="H1369" s="132" t="s">
        <v>373</v>
      </c>
      <c r="I1369" s="132" t="s">
        <v>1100</v>
      </c>
      <c r="J1369" s="132" t="s">
        <v>3849</v>
      </c>
      <c r="K1369" s="132" t="s">
        <v>3850</v>
      </c>
      <c r="L1369" s="132" t="s">
        <v>3851</v>
      </c>
      <c r="M1369" s="132" t="s">
        <v>4268</v>
      </c>
      <c r="N1369" s="132" t="s">
        <v>1117</v>
      </c>
      <c r="O1369" s="132" t="s">
        <v>3391</v>
      </c>
      <c r="P1369" s="132" t="s">
        <v>4269</v>
      </c>
      <c r="Q1369" s="132" t="s">
        <v>4239</v>
      </c>
      <c r="R1369" s="132" t="s">
        <v>1108</v>
      </c>
    </row>
    <row r="1370" spans="1:18" x14ac:dyDescent="0.2">
      <c r="A1370" t="s">
        <v>234</v>
      </c>
      <c r="B1370" s="141">
        <f t="shared" ref="B1370:B1385" si="22">_xlfn.NUMBERVALUE(L1370)*0.01</f>
        <v>23.1</v>
      </c>
      <c r="C1370" s="280">
        <v>45790</v>
      </c>
      <c r="D1370" s="279">
        <v>45792</v>
      </c>
      <c r="E1370" s="279">
        <v>45792</v>
      </c>
      <c r="F1370" s="132"/>
      <c r="G1370" s="132" t="s">
        <v>1108</v>
      </c>
      <c r="H1370" s="132" t="s">
        <v>373</v>
      </c>
      <c r="I1370" s="132" t="s">
        <v>1100</v>
      </c>
      <c r="J1370" s="132" t="s">
        <v>3827</v>
      </c>
      <c r="K1370" s="132" t="s">
        <v>3828</v>
      </c>
      <c r="L1370" s="132" t="s">
        <v>3829</v>
      </c>
      <c r="M1370" s="132" t="s">
        <v>4270</v>
      </c>
      <c r="N1370" s="132" t="s">
        <v>1112</v>
      </c>
      <c r="O1370" s="132" t="s">
        <v>3391</v>
      </c>
      <c r="P1370" s="132" t="s">
        <v>4271</v>
      </c>
      <c r="Q1370" s="132" t="s">
        <v>4272</v>
      </c>
      <c r="R1370" s="132" t="s">
        <v>1108</v>
      </c>
    </row>
    <row r="1371" spans="1:18" x14ac:dyDescent="0.2">
      <c r="A1371" t="s">
        <v>234</v>
      </c>
      <c r="B1371" s="141">
        <f t="shared" si="22"/>
        <v>23.1</v>
      </c>
      <c r="C1371" s="280">
        <v>45790</v>
      </c>
      <c r="D1371" s="279">
        <v>45792</v>
      </c>
      <c r="E1371" s="279">
        <v>45792</v>
      </c>
      <c r="F1371" s="132"/>
      <c r="G1371" s="132" t="s">
        <v>1108</v>
      </c>
      <c r="H1371" s="132" t="s">
        <v>373</v>
      </c>
      <c r="I1371" s="132" t="s">
        <v>1100</v>
      </c>
      <c r="J1371" s="132" t="s">
        <v>3827</v>
      </c>
      <c r="K1371" s="132" t="s">
        <v>3828</v>
      </c>
      <c r="L1371" s="132" t="s">
        <v>3829</v>
      </c>
      <c r="M1371" s="132" t="s">
        <v>4273</v>
      </c>
      <c r="N1371" s="132" t="s">
        <v>1112</v>
      </c>
      <c r="O1371" s="132" t="s">
        <v>3391</v>
      </c>
      <c r="P1371" s="132" t="s">
        <v>4274</v>
      </c>
      <c r="Q1371" s="132" t="s">
        <v>4272</v>
      </c>
      <c r="R1371" s="132" t="s">
        <v>1108</v>
      </c>
    </row>
    <row r="1372" spans="1:18" x14ac:dyDescent="0.2">
      <c r="A1372" t="s">
        <v>234</v>
      </c>
      <c r="B1372" s="141">
        <f t="shared" si="22"/>
        <v>23.240000000000002</v>
      </c>
      <c r="C1372" s="280">
        <v>45790</v>
      </c>
      <c r="D1372" s="279">
        <v>45792</v>
      </c>
      <c r="E1372" s="279">
        <v>45792</v>
      </c>
      <c r="F1372" s="132"/>
      <c r="G1372" s="132" t="s">
        <v>1108</v>
      </c>
      <c r="H1372" s="132" t="s">
        <v>373</v>
      </c>
      <c r="I1372" s="132" t="s">
        <v>1100</v>
      </c>
      <c r="J1372" s="132" t="s">
        <v>3827</v>
      </c>
      <c r="K1372" s="132" t="s">
        <v>3834</v>
      </c>
      <c r="L1372" s="132" t="s">
        <v>3835</v>
      </c>
      <c r="M1372" s="132" t="s">
        <v>4275</v>
      </c>
      <c r="N1372" s="132" t="s">
        <v>1117</v>
      </c>
      <c r="O1372" s="132" t="s">
        <v>3391</v>
      </c>
      <c r="P1372" s="132" t="s">
        <v>4276</v>
      </c>
      <c r="Q1372" s="132" t="s">
        <v>4272</v>
      </c>
      <c r="R1372" s="132" t="s">
        <v>1108</v>
      </c>
    </row>
    <row r="1373" spans="1:18" x14ac:dyDescent="0.2">
      <c r="A1373" t="s">
        <v>234</v>
      </c>
      <c r="B1373" s="141">
        <f t="shared" si="22"/>
        <v>23.240000000000002</v>
      </c>
      <c r="C1373" s="280">
        <v>45790</v>
      </c>
      <c r="D1373" s="279">
        <v>45792</v>
      </c>
      <c r="E1373" s="279">
        <v>45792</v>
      </c>
      <c r="F1373" s="132"/>
      <c r="G1373" s="132" t="s">
        <v>2057</v>
      </c>
      <c r="H1373" s="132" t="s">
        <v>373</v>
      </c>
      <c r="I1373" s="132" t="s">
        <v>1100</v>
      </c>
      <c r="J1373" s="132" t="s">
        <v>3827</v>
      </c>
      <c r="K1373" s="132" t="s">
        <v>3834</v>
      </c>
      <c r="L1373" s="132" t="s">
        <v>3835</v>
      </c>
      <c r="M1373" s="132" t="s">
        <v>4277</v>
      </c>
      <c r="N1373" s="132" t="s">
        <v>1105</v>
      </c>
      <c r="O1373" s="132" t="s">
        <v>3391</v>
      </c>
      <c r="P1373" s="132" t="s">
        <v>4278</v>
      </c>
      <c r="Q1373" s="132" t="s">
        <v>4272</v>
      </c>
      <c r="R1373" s="132" t="s">
        <v>1108</v>
      </c>
    </row>
    <row r="1374" spans="1:18" x14ac:dyDescent="0.2">
      <c r="A1374" t="s">
        <v>234</v>
      </c>
      <c r="B1374" s="141">
        <f t="shared" si="22"/>
        <v>23.240000000000002</v>
      </c>
      <c r="C1374" s="280">
        <v>45790</v>
      </c>
      <c r="D1374" s="279">
        <v>45792</v>
      </c>
      <c r="E1374" s="279">
        <v>45792</v>
      </c>
      <c r="F1374" s="132"/>
      <c r="G1374" s="132" t="s">
        <v>1108</v>
      </c>
      <c r="H1374" s="132" t="s">
        <v>373</v>
      </c>
      <c r="I1374" s="132" t="s">
        <v>1100</v>
      </c>
      <c r="J1374" s="132" t="s">
        <v>3827</v>
      </c>
      <c r="K1374" s="132" t="s">
        <v>3834</v>
      </c>
      <c r="L1374" s="132" t="s">
        <v>3835</v>
      </c>
      <c r="M1374" s="132" t="s">
        <v>4279</v>
      </c>
      <c r="N1374" s="132" t="s">
        <v>1117</v>
      </c>
      <c r="O1374" s="132" t="s">
        <v>3391</v>
      </c>
      <c r="P1374" s="132" t="s">
        <v>4280</v>
      </c>
      <c r="Q1374" s="132" t="s">
        <v>4272</v>
      </c>
      <c r="R1374" s="132" t="s">
        <v>1108</v>
      </c>
    </row>
    <row r="1375" spans="1:18" x14ac:dyDescent="0.2">
      <c r="A1375" t="s">
        <v>234</v>
      </c>
      <c r="B1375" s="141">
        <f t="shared" si="22"/>
        <v>23.1</v>
      </c>
      <c r="C1375" s="280">
        <v>45790</v>
      </c>
      <c r="D1375" s="279">
        <v>45792</v>
      </c>
      <c r="E1375" s="279">
        <v>45792</v>
      </c>
      <c r="F1375" s="132"/>
      <c r="G1375" s="132" t="s">
        <v>1108</v>
      </c>
      <c r="H1375" s="132" t="s">
        <v>373</v>
      </c>
      <c r="I1375" s="132" t="s">
        <v>1100</v>
      </c>
      <c r="J1375" s="132" t="s">
        <v>3827</v>
      </c>
      <c r="K1375" s="132" t="s">
        <v>3828</v>
      </c>
      <c r="L1375" s="132" t="s">
        <v>3829</v>
      </c>
      <c r="M1375" s="132" t="s">
        <v>4281</v>
      </c>
      <c r="N1375" s="132" t="s">
        <v>1112</v>
      </c>
      <c r="O1375" s="132" t="s">
        <v>3391</v>
      </c>
      <c r="P1375" s="132" t="s">
        <v>4282</v>
      </c>
      <c r="Q1375" s="132" t="s">
        <v>4272</v>
      </c>
      <c r="R1375" s="132" t="s">
        <v>1108</v>
      </c>
    </row>
    <row r="1376" spans="1:18" x14ac:dyDescent="0.2">
      <c r="A1376" t="s">
        <v>234</v>
      </c>
      <c r="B1376" s="141">
        <f t="shared" si="22"/>
        <v>23.1</v>
      </c>
      <c r="C1376" s="280">
        <v>45790</v>
      </c>
      <c r="D1376" s="279">
        <v>45792</v>
      </c>
      <c r="E1376" s="279">
        <v>45792</v>
      </c>
      <c r="F1376" s="132"/>
      <c r="G1376" s="132" t="s">
        <v>1108</v>
      </c>
      <c r="H1376" s="132" t="s">
        <v>373</v>
      </c>
      <c r="I1376" s="132" t="s">
        <v>1100</v>
      </c>
      <c r="J1376" s="132" t="s">
        <v>3827</v>
      </c>
      <c r="K1376" s="132" t="s">
        <v>3828</v>
      </c>
      <c r="L1376" s="132" t="s">
        <v>3829</v>
      </c>
      <c r="M1376" s="132" t="s">
        <v>4283</v>
      </c>
      <c r="N1376" s="132" t="s">
        <v>1112</v>
      </c>
      <c r="O1376" s="132" t="s">
        <v>3391</v>
      </c>
      <c r="P1376" s="132" t="s">
        <v>4284</v>
      </c>
      <c r="Q1376" s="132" t="s">
        <v>4272</v>
      </c>
      <c r="R1376" s="132" t="s">
        <v>1108</v>
      </c>
    </row>
    <row r="1377" spans="1:18" x14ac:dyDescent="0.2">
      <c r="A1377" t="s">
        <v>234</v>
      </c>
      <c r="B1377" s="141">
        <f t="shared" si="22"/>
        <v>23.1</v>
      </c>
      <c r="C1377" s="280">
        <v>45790</v>
      </c>
      <c r="D1377" s="279">
        <v>45792</v>
      </c>
      <c r="E1377" s="279">
        <v>45792</v>
      </c>
      <c r="F1377" s="132"/>
      <c r="G1377" s="132" t="s">
        <v>1108</v>
      </c>
      <c r="H1377" s="132" t="s">
        <v>373</v>
      </c>
      <c r="I1377" s="132" t="s">
        <v>1100</v>
      </c>
      <c r="J1377" s="132" t="s">
        <v>3827</v>
      </c>
      <c r="K1377" s="132" t="s">
        <v>3828</v>
      </c>
      <c r="L1377" s="132" t="s">
        <v>3829</v>
      </c>
      <c r="M1377" s="132" t="s">
        <v>4285</v>
      </c>
      <c r="N1377" s="132" t="s">
        <v>1112</v>
      </c>
      <c r="O1377" s="132" t="s">
        <v>3391</v>
      </c>
      <c r="P1377" s="132" t="s">
        <v>4286</v>
      </c>
      <c r="Q1377" s="132" t="s">
        <v>4272</v>
      </c>
      <c r="R1377" s="132" t="s">
        <v>1108</v>
      </c>
    </row>
    <row r="1378" spans="1:18" x14ac:dyDescent="0.2">
      <c r="A1378" t="s">
        <v>234</v>
      </c>
      <c r="B1378" s="141">
        <f t="shared" si="22"/>
        <v>23.240000000000002</v>
      </c>
      <c r="C1378" s="280">
        <v>45790</v>
      </c>
      <c r="D1378" s="279">
        <v>45792</v>
      </c>
      <c r="E1378" s="279">
        <v>45792</v>
      </c>
      <c r="F1378" s="132"/>
      <c r="G1378" s="132" t="s">
        <v>3040</v>
      </c>
      <c r="H1378" s="132" t="s">
        <v>373</v>
      </c>
      <c r="I1378" s="132" t="s">
        <v>1100</v>
      </c>
      <c r="J1378" s="132" t="s">
        <v>3827</v>
      </c>
      <c r="K1378" s="132" t="s">
        <v>3834</v>
      </c>
      <c r="L1378" s="132" t="s">
        <v>3835</v>
      </c>
      <c r="M1378" s="132" t="s">
        <v>4287</v>
      </c>
      <c r="N1378" s="132" t="s">
        <v>1105</v>
      </c>
      <c r="O1378" s="132" t="s">
        <v>3391</v>
      </c>
      <c r="P1378" s="132" t="s">
        <v>4288</v>
      </c>
      <c r="Q1378" s="132" t="s">
        <v>4272</v>
      </c>
      <c r="R1378" s="132" t="s">
        <v>1108</v>
      </c>
    </row>
    <row r="1379" spans="1:18" x14ac:dyDescent="0.2">
      <c r="A1379" t="s">
        <v>235</v>
      </c>
      <c r="B1379" s="141">
        <f t="shared" si="22"/>
        <v>27</v>
      </c>
      <c r="C1379" s="280">
        <v>45790</v>
      </c>
      <c r="D1379" s="279">
        <v>45792</v>
      </c>
      <c r="E1379" s="279">
        <v>45792</v>
      </c>
      <c r="F1379" s="132"/>
      <c r="G1379" s="132" t="s">
        <v>1108</v>
      </c>
      <c r="H1379" s="132" t="s">
        <v>373</v>
      </c>
      <c r="I1379" s="132" t="s">
        <v>1100</v>
      </c>
      <c r="J1379" s="132" t="s">
        <v>3849</v>
      </c>
      <c r="K1379" s="132" t="s">
        <v>1714</v>
      </c>
      <c r="L1379" s="132" t="s">
        <v>4004</v>
      </c>
      <c r="M1379" s="132" t="s">
        <v>4289</v>
      </c>
      <c r="N1379" s="132" t="s">
        <v>1112</v>
      </c>
      <c r="O1379" s="132" t="s">
        <v>3391</v>
      </c>
      <c r="P1379" s="132" t="s">
        <v>4290</v>
      </c>
      <c r="Q1379" s="132" t="s">
        <v>4272</v>
      </c>
      <c r="R1379" s="132" t="s">
        <v>1108</v>
      </c>
    </row>
    <row r="1380" spans="1:18" x14ac:dyDescent="0.2">
      <c r="A1380" t="s">
        <v>234</v>
      </c>
      <c r="B1380" s="141">
        <f t="shared" si="22"/>
        <v>23.240000000000002</v>
      </c>
      <c r="C1380" s="280">
        <v>45790</v>
      </c>
      <c r="D1380" s="279">
        <v>45792</v>
      </c>
      <c r="E1380" s="279">
        <v>45792</v>
      </c>
      <c r="F1380" s="132"/>
      <c r="G1380" s="132" t="s">
        <v>4291</v>
      </c>
      <c r="H1380" s="132" t="s">
        <v>373</v>
      </c>
      <c r="I1380" s="132" t="s">
        <v>1100</v>
      </c>
      <c r="J1380" s="132" t="s">
        <v>3827</v>
      </c>
      <c r="K1380" s="132" t="s">
        <v>3834</v>
      </c>
      <c r="L1380" s="132" t="s">
        <v>3835</v>
      </c>
      <c r="M1380" s="132" t="s">
        <v>4292</v>
      </c>
      <c r="N1380" s="132" t="s">
        <v>1105</v>
      </c>
      <c r="O1380" s="132" t="s">
        <v>3391</v>
      </c>
      <c r="P1380" s="132" t="s">
        <v>4293</v>
      </c>
      <c r="Q1380" s="132" t="s">
        <v>4272</v>
      </c>
      <c r="R1380" s="132" t="s">
        <v>1108</v>
      </c>
    </row>
    <row r="1381" spans="1:18" x14ac:dyDescent="0.2">
      <c r="A1381" t="s">
        <v>234</v>
      </c>
      <c r="B1381" s="141">
        <f t="shared" si="22"/>
        <v>23.240000000000002</v>
      </c>
      <c r="C1381" s="280">
        <v>45790</v>
      </c>
      <c r="D1381" s="279">
        <v>45792</v>
      </c>
      <c r="E1381" s="279">
        <v>45792</v>
      </c>
      <c r="F1381" s="132"/>
      <c r="G1381" s="132" t="s">
        <v>2643</v>
      </c>
      <c r="H1381" s="132" t="s">
        <v>373</v>
      </c>
      <c r="I1381" s="132" t="s">
        <v>1100</v>
      </c>
      <c r="J1381" s="132" t="s">
        <v>3827</v>
      </c>
      <c r="K1381" s="132" t="s">
        <v>3834</v>
      </c>
      <c r="L1381" s="132" t="s">
        <v>3835</v>
      </c>
      <c r="M1381" s="132" t="s">
        <v>4294</v>
      </c>
      <c r="N1381" s="132" t="s">
        <v>1105</v>
      </c>
      <c r="O1381" s="132" t="s">
        <v>3391</v>
      </c>
      <c r="P1381" s="132" t="s">
        <v>4295</v>
      </c>
      <c r="Q1381" s="132" t="s">
        <v>4272</v>
      </c>
      <c r="R1381" s="132" t="s">
        <v>1108</v>
      </c>
    </row>
    <row r="1382" spans="1:18" x14ac:dyDescent="0.2">
      <c r="A1382" t="s">
        <v>234</v>
      </c>
      <c r="B1382" s="141">
        <f t="shared" si="22"/>
        <v>23.240000000000002</v>
      </c>
      <c r="C1382" s="280">
        <v>45790</v>
      </c>
      <c r="D1382" s="279">
        <v>45792</v>
      </c>
      <c r="E1382" s="279">
        <v>45792</v>
      </c>
      <c r="F1382" s="132"/>
      <c r="G1382" s="132" t="s">
        <v>4296</v>
      </c>
      <c r="H1382" s="132" t="s">
        <v>373</v>
      </c>
      <c r="I1382" s="132" t="s">
        <v>1100</v>
      </c>
      <c r="J1382" s="132" t="s">
        <v>3827</v>
      </c>
      <c r="K1382" s="132" t="s">
        <v>3834</v>
      </c>
      <c r="L1382" s="132" t="s">
        <v>3835</v>
      </c>
      <c r="M1382" s="132" t="s">
        <v>4297</v>
      </c>
      <c r="N1382" s="132" t="s">
        <v>1105</v>
      </c>
      <c r="O1382" s="132" t="s">
        <v>3391</v>
      </c>
      <c r="P1382" s="132" t="s">
        <v>4298</v>
      </c>
      <c r="Q1382" s="132" t="s">
        <v>4272</v>
      </c>
      <c r="R1382" s="132" t="s">
        <v>1108</v>
      </c>
    </row>
    <row r="1383" spans="1:18" x14ac:dyDescent="0.2">
      <c r="A1383" t="s">
        <v>234</v>
      </c>
      <c r="B1383" s="141">
        <f t="shared" si="22"/>
        <v>23.240000000000002</v>
      </c>
      <c r="C1383" s="280">
        <v>45790</v>
      </c>
      <c r="D1383" s="279">
        <v>45792</v>
      </c>
      <c r="E1383" s="279">
        <v>45792</v>
      </c>
      <c r="F1383" s="132"/>
      <c r="G1383" s="132" t="s">
        <v>1108</v>
      </c>
      <c r="H1383" s="132" t="s">
        <v>373</v>
      </c>
      <c r="I1383" s="132" t="s">
        <v>1100</v>
      </c>
      <c r="J1383" s="132" t="s">
        <v>3827</v>
      </c>
      <c r="K1383" s="132" t="s">
        <v>3834</v>
      </c>
      <c r="L1383" s="132" t="s">
        <v>3835</v>
      </c>
      <c r="M1383" s="132" t="s">
        <v>4299</v>
      </c>
      <c r="N1383" s="132" t="s">
        <v>1117</v>
      </c>
      <c r="O1383" s="132" t="s">
        <v>3391</v>
      </c>
      <c r="P1383" s="132" t="s">
        <v>4300</v>
      </c>
      <c r="Q1383" s="132" t="s">
        <v>4272</v>
      </c>
      <c r="R1383" s="132" t="s">
        <v>1108</v>
      </c>
    </row>
    <row r="1384" spans="1:18" x14ac:dyDescent="0.2">
      <c r="A1384" t="s">
        <v>234</v>
      </c>
      <c r="B1384" s="141">
        <f t="shared" si="22"/>
        <v>23.240000000000002</v>
      </c>
      <c r="C1384" s="280">
        <v>45790</v>
      </c>
      <c r="D1384" s="279">
        <v>45792</v>
      </c>
      <c r="E1384" s="279">
        <v>45792</v>
      </c>
      <c r="F1384" s="132"/>
      <c r="G1384" s="132" t="s">
        <v>1108</v>
      </c>
      <c r="H1384" s="132" t="s">
        <v>373</v>
      </c>
      <c r="I1384" s="132" t="s">
        <v>1100</v>
      </c>
      <c r="J1384" s="132" t="s">
        <v>3827</v>
      </c>
      <c r="K1384" s="132" t="s">
        <v>3834</v>
      </c>
      <c r="L1384" s="132" t="s">
        <v>3835</v>
      </c>
      <c r="M1384" s="132" t="s">
        <v>4301</v>
      </c>
      <c r="N1384" s="132" t="s">
        <v>1117</v>
      </c>
      <c r="O1384" s="132" t="s">
        <v>3391</v>
      </c>
      <c r="P1384" s="132" t="s">
        <v>4302</v>
      </c>
      <c r="Q1384" s="132" t="s">
        <v>4272</v>
      </c>
      <c r="R1384" s="132" t="s">
        <v>1108</v>
      </c>
    </row>
    <row r="1385" spans="1:18" x14ac:dyDescent="0.2">
      <c r="A1385" t="s">
        <v>234</v>
      </c>
      <c r="B1385" s="141">
        <f t="shared" si="22"/>
        <v>23.240000000000002</v>
      </c>
      <c r="C1385" s="280">
        <v>45791</v>
      </c>
      <c r="D1385" s="279">
        <v>45793</v>
      </c>
      <c r="E1385" s="279">
        <v>45793</v>
      </c>
      <c r="F1385" s="132"/>
      <c r="G1385" s="132" t="s">
        <v>1108</v>
      </c>
      <c r="H1385" s="132" t="s">
        <v>373</v>
      </c>
      <c r="I1385" s="132" t="s">
        <v>1100</v>
      </c>
      <c r="J1385" s="132" t="s">
        <v>3827</v>
      </c>
      <c r="K1385" s="132" t="s">
        <v>3834</v>
      </c>
      <c r="L1385" s="132" t="s">
        <v>3835</v>
      </c>
      <c r="M1385" s="132" t="s">
        <v>4303</v>
      </c>
      <c r="N1385" s="132" t="s">
        <v>1117</v>
      </c>
      <c r="O1385" s="132" t="s">
        <v>3391</v>
      </c>
      <c r="P1385" s="132" t="s">
        <v>4304</v>
      </c>
      <c r="Q1385" s="132" t="s">
        <v>4305</v>
      </c>
      <c r="R1385" s="132" t="s">
        <v>1108</v>
      </c>
    </row>
    <row r="1386" spans="1:18" x14ac:dyDescent="0.2">
      <c r="A1386" t="s">
        <v>234</v>
      </c>
      <c r="B1386" s="141">
        <f t="shared" si="21"/>
        <v>23.1</v>
      </c>
      <c r="C1386" s="280">
        <v>45791</v>
      </c>
      <c r="D1386" s="279">
        <v>45793</v>
      </c>
      <c r="E1386" s="279">
        <v>45793</v>
      </c>
      <c r="F1386" s="132"/>
      <c r="G1386" s="132" t="s">
        <v>1108</v>
      </c>
      <c r="H1386" s="132" t="s">
        <v>373</v>
      </c>
      <c r="I1386" s="132" t="s">
        <v>1100</v>
      </c>
      <c r="J1386" s="132" t="s">
        <v>3827</v>
      </c>
      <c r="K1386" s="132" t="s">
        <v>3828</v>
      </c>
      <c r="L1386" s="132" t="s">
        <v>3829</v>
      </c>
      <c r="M1386" s="132" t="s">
        <v>4306</v>
      </c>
      <c r="N1386" s="132" t="s">
        <v>1112</v>
      </c>
      <c r="O1386" s="132" t="s">
        <v>3391</v>
      </c>
      <c r="P1386" s="132" t="s">
        <v>4307</v>
      </c>
      <c r="Q1386" s="132" t="s">
        <v>4305</v>
      </c>
      <c r="R1386" s="132" t="s">
        <v>1108</v>
      </c>
    </row>
    <row r="1387" spans="1:18" x14ac:dyDescent="0.2">
      <c r="A1387" t="s">
        <v>234</v>
      </c>
      <c r="B1387" s="141">
        <f t="shared" si="21"/>
        <v>23.240000000000002</v>
      </c>
      <c r="C1387" s="280">
        <v>45791</v>
      </c>
      <c r="D1387" s="279">
        <v>45793</v>
      </c>
      <c r="E1387" s="279">
        <v>45793</v>
      </c>
      <c r="F1387" s="132"/>
      <c r="G1387" s="132" t="s">
        <v>1108</v>
      </c>
      <c r="H1387" s="132" t="s">
        <v>373</v>
      </c>
      <c r="I1387" s="132" t="s">
        <v>1100</v>
      </c>
      <c r="J1387" s="132" t="s">
        <v>3827</v>
      </c>
      <c r="K1387" s="132" t="s">
        <v>3834</v>
      </c>
      <c r="L1387" s="132" t="s">
        <v>3835</v>
      </c>
      <c r="M1387" s="132" t="s">
        <v>4308</v>
      </c>
      <c r="N1387" s="132" t="s">
        <v>1117</v>
      </c>
      <c r="O1387" s="132" t="s">
        <v>3391</v>
      </c>
      <c r="P1387" s="132" t="s">
        <v>4309</v>
      </c>
      <c r="Q1387" s="132" t="s">
        <v>4305</v>
      </c>
      <c r="R1387" s="132" t="s">
        <v>1108</v>
      </c>
    </row>
    <row r="1388" spans="1:18" x14ac:dyDescent="0.2">
      <c r="A1388" t="s">
        <v>235</v>
      </c>
      <c r="B1388" s="141">
        <f t="shared" si="21"/>
        <v>27</v>
      </c>
      <c r="C1388" s="280">
        <v>45791</v>
      </c>
      <c r="D1388" s="279">
        <v>45793</v>
      </c>
      <c r="E1388" s="279">
        <v>45793</v>
      </c>
      <c r="F1388" s="132"/>
      <c r="G1388" s="132" t="s">
        <v>1108</v>
      </c>
      <c r="H1388" s="132" t="s">
        <v>373</v>
      </c>
      <c r="I1388" s="132" t="s">
        <v>1100</v>
      </c>
      <c r="J1388" s="132" t="s">
        <v>3849</v>
      </c>
      <c r="K1388" s="132" t="s">
        <v>1714</v>
      </c>
      <c r="L1388" s="132" t="s">
        <v>4004</v>
      </c>
      <c r="M1388" s="132" t="s">
        <v>4310</v>
      </c>
      <c r="N1388" s="132" t="s">
        <v>1112</v>
      </c>
      <c r="O1388" s="132" t="s">
        <v>3391</v>
      </c>
      <c r="P1388" s="132" t="s">
        <v>4311</v>
      </c>
      <c r="Q1388" s="132" t="s">
        <v>4305</v>
      </c>
      <c r="R1388" s="132" t="s">
        <v>1108</v>
      </c>
    </row>
    <row r="1389" spans="1:18" x14ac:dyDescent="0.2">
      <c r="A1389" t="s">
        <v>235</v>
      </c>
      <c r="B1389" s="141">
        <f t="shared" si="21"/>
        <v>27.17</v>
      </c>
      <c r="C1389" s="280">
        <v>45791</v>
      </c>
      <c r="D1389" s="279">
        <v>45793</v>
      </c>
      <c r="E1389" s="279">
        <v>45793</v>
      </c>
      <c r="F1389" s="132"/>
      <c r="G1389" s="132" t="s">
        <v>1108</v>
      </c>
      <c r="H1389" s="132" t="s">
        <v>373</v>
      </c>
      <c r="I1389" s="132" t="s">
        <v>1100</v>
      </c>
      <c r="J1389" s="132" t="s">
        <v>3849</v>
      </c>
      <c r="K1389" s="132" t="s">
        <v>3850</v>
      </c>
      <c r="L1389" s="132" t="s">
        <v>3851</v>
      </c>
      <c r="M1389" s="132" t="s">
        <v>4312</v>
      </c>
      <c r="N1389" s="132" t="s">
        <v>1117</v>
      </c>
      <c r="O1389" s="132" t="s">
        <v>3391</v>
      </c>
      <c r="P1389" s="132" t="s">
        <v>4313</v>
      </c>
      <c r="Q1389" s="132" t="s">
        <v>4305</v>
      </c>
      <c r="R1389" s="132" t="s">
        <v>1108</v>
      </c>
    </row>
    <row r="1390" spans="1:18" x14ac:dyDescent="0.2">
      <c r="A1390" t="s">
        <v>234</v>
      </c>
      <c r="B1390" s="141">
        <f t="shared" si="21"/>
        <v>23.1</v>
      </c>
      <c r="C1390" s="280">
        <v>45791</v>
      </c>
      <c r="D1390" s="279">
        <v>45793</v>
      </c>
      <c r="E1390" s="279">
        <v>45793</v>
      </c>
      <c r="F1390" s="132"/>
      <c r="G1390" s="132" t="s">
        <v>1108</v>
      </c>
      <c r="H1390" s="132" t="s">
        <v>373</v>
      </c>
      <c r="I1390" s="132" t="s">
        <v>1100</v>
      </c>
      <c r="J1390" s="132" t="s">
        <v>3827</v>
      </c>
      <c r="K1390" s="132" t="s">
        <v>3828</v>
      </c>
      <c r="L1390" s="132" t="s">
        <v>3829</v>
      </c>
      <c r="M1390" s="132" t="s">
        <v>4314</v>
      </c>
      <c r="N1390" s="132" t="s">
        <v>1112</v>
      </c>
      <c r="O1390" s="132" t="s">
        <v>3391</v>
      </c>
      <c r="P1390" s="132" t="s">
        <v>4315</v>
      </c>
      <c r="Q1390" s="132" t="s">
        <v>4305</v>
      </c>
      <c r="R1390" s="132" t="s">
        <v>1108</v>
      </c>
    </row>
    <row r="1391" spans="1:18" x14ac:dyDescent="0.2">
      <c r="A1391" t="s">
        <v>235</v>
      </c>
      <c r="B1391" s="141">
        <f t="shared" si="21"/>
        <v>27.17</v>
      </c>
      <c r="C1391" s="280">
        <v>45791</v>
      </c>
      <c r="D1391" s="279">
        <v>45793</v>
      </c>
      <c r="E1391" s="279">
        <v>45793</v>
      </c>
      <c r="F1391" s="132"/>
      <c r="G1391" s="132" t="s">
        <v>4316</v>
      </c>
      <c r="H1391" s="132" t="s">
        <v>373</v>
      </c>
      <c r="I1391" s="132" t="s">
        <v>1100</v>
      </c>
      <c r="J1391" s="132" t="s">
        <v>3849</v>
      </c>
      <c r="K1391" s="132" t="s">
        <v>3850</v>
      </c>
      <c r="L1391" s="132" t="s">
        <v>3851</v>
      </c>
      <c r="M1391" s="132" t="s">
        <v>4317</v>
      </c>
      <c r="N1391" s="132" t="s">
        <v>1105</v>
      </c>
      <c r="O1391" s="132" t="s">
        <v>3391</v>
      </c>
      <c r="P1391" s="132" t="s">
        <v>4318</v>
      </c>
      <c r="Q1391" s="132" t="s">
        <v>4305</v>
      </c>
      <c r="R1391" s="132" t="s">
        <v>1108</v>
      </c>
    </row>
    <row r="1392" spans="1:18" x14ac:dyDescent="0.2">
      <c r="A1392" t="s">
        <v>234</v>
      </c>
      <c r="B1392" s="141">
        <f t="shared" si="21"/>
        <v>23.1</v>
      </c>
      <c r="C1392" s="280">
        <v>45791</v>
      </c>
      <c r="D1392" s="279">
        <v>45793</v>
      </c>
      <c r="E1392" s="279">
        <v>45793</v>
      </c>
      <c r="F1392" s="132"/>
      <c r="G1392" s="132" t="s">
        <v>1108</v>
      </c>
      <c r="H1392" s="132" t="s">
        <v>373</v>
      </c>
      <c r="I1392" s="132" t="s">
        <v>1100</v>
      </c>
      <c r="J1392" s="132" t="s">
        <v>3827</v>
      </c>
      <c r="K1392" s="132" t="s">
        <v>3828</v>
      </c>
      <c r="L1392" s="132" t="s">
        <v>3829</v>
      </c>
      <c r="M1392" s="132" t="s">
        <v>4319</v>
      </c>
      <c r="N1392" s="132" t="s">
        <v>1112</v>
      </c>
      <c r="O1392" s="132" t="s">
        <v>3391</v>
      </c>
      <c r="P1392" s="132" t="s">
        <v>4320</v>
      </c>
      <c r="Q1392" s="132" t="s">
        <v>4305</v>
      </c>
      <c r="R1392" s="132" t="s">
        <v>1108</v>
      </c>
    </row>
    <row r="1393" spans="1:18" x14ac:dyDescent="0.2">
      <c r="A1393" t="s">
        <v>234</v>
      </c>
      <c r="B1393" s="141">
        <f t="shared" si="21"/>
        <v>23.1</v>
      </c>
      <c r="C1393" s="280">
        <v>45791</v>
      </c>
      <c r="D1393" s="279">
        <v>45793</v>
      </c>
      <c r="E1393" s="279">
        <v>45793</v>
      </c>
      <c r="F1393" s="132"/>
      <c r="G1393" s="132" t="s">
        <v>1108</v>
      </c>
      <c r="H1393" s="132" t="s">
        <v>373</v>
      </c>
      <c r="I1393" s="132" t="s">
        <v>1100</v>
      </c>
      <c r="J1393" s="132" t="s">
        <v>3827</v>
      </c>
      <c r="K1393" s="132" t="s">
        <v>3828</v>
      </c>
      <c r="L1393" s="132" t="s">
        <v>3829</v>
      </c>
      <c r="M1393" s="132" t="s">
        <v>4321</v>
      </c>
      <c r="N1393" s="132" t="s">
        <v>1112</v>
      </c>
      <c r="O1393" s="132" t="s">
        <v>3391</v>
      </c>
      <c r="P1393" s="132" t="s">
        <v>4322</v>
      </c>
      <c r="Q1393" s="132" t="s">
        <v>4305</v>
      </c>
      <c r="R1393" s="132" t="s">
        <v>1108</v>
      </c>
    </row>
    <row r="1394" spans="1:18" x14ac:dyDescent="0.2">
      <c r="A1394" t="s">
        <v>234</v>
      </c>
      <c r="B1394" s="141">
        <f t="shared" si="21"/>
        <v>23.1</v>
      </c>
      <c r="C1394" s="280">
        <v>45791</v>
      </c>
      <c r="D1394" s="279">
        <v>45793</v>
      </c>
      <c r="E1394" s="279">
        <v>45793</v>
      </c>
      <c r="F1394" s="132"/>
      <c r="G1394" s="132" t="s">
        <v>1108</v>
      </c>
      <c r="H1394" s="132" t="s">
        <v>373</v>
      </c>
      <c r="I1394" s="132" t="s">
        <v>1100</v>
      </c>
      <c r="J1394" s="132" t="s">
        <v>3827</v>
      </c>
      <c r="K1394" s="132" t="s">
        <v>3828</v>
      </c>
      <c r="L1394" s="132" t="s">
        <v>3829</v>
      </c>
      <c r="M1394" s="132" t="s">
        <v>4323</v>
      </c>
      <c r="N1394" s="132" t="s">
        <v>1112</v>
      </c>
      <c r="O1394" s="132" t="s">
        <v>3391</v>
      </c>
      <c r="P1394" s="132" t="s">
        <v>4324</v>
      </c>
      <c r="Q1394" s="132" t="s">
        <v>4305</v>
      </c>
      <c r="R1394" s="132" t="s">
        <v>1108</v>
      </c>
    </row>
    <row r="1395" spans="1:18" x14ac:dyDescent="0.2">
      <c r="A1395" t="s">
        <v>81</v>
      </c>
      <c r="B1395" s="141">
        <f t="shared" si="21"/>
        <v>56.6</v>
      </c>
      <c r="C1395" s="280">
        <v>45791</v>
      </c>
      <c r="D1395" s="279">
        <v>45793</v>
      </c>
      <c r="E1395" s="279">
        <v>45793</v>
      </c>
      <c r="F1395" s="132"/>
      <c r="G1395" s="132" t="s">
        <v>4325</v>
      </c>
      <c r="H1395" s="132" t="s">
        <v>373</v>
      </c>
      <c r="I1395" s="132" t="s">
        <v>1100</v>
      </c>
      <c r="J1395" s="132" t="s">
        <v>1261</v>
      </c>
      <c r="K1395" s="132" t="s">
        <v>2463</v>
      </c>
      <c r="L1395" s="132" t="s">
        <v>2464</v>
      </c>
      <c r="M1395" s="281" t="s">
        <v>4326</v>
      </c>
      <c r="N1395" s="132" t="s">
        <v>1105</v>
      </c>
      <c r="O1395" s="132" t="s">
        <v>3391</v>
      </c>
      <c r="P1395" s="132" t="s">
        <v>4327</v>
      </c>
      <c r="Q1395" s="132" t="s">
        <v>4305</v>
      </c>
      <c r="R1395" s="132" t="s">
        <v>1108</v>
      </c>
    </row>
    <row r="1396" spans="1:18" x14ac:dyDescent="0.2">
      <c r="A1396" t="s">
        <v>234</v>
      </c>
      <c r="B1396" s="141">
        <f t="shared" si="21"/>
        <v>23.1</v>
      </c>
      <c r="C1396" s="280">
        <v>45791</v>
      </c>
      <c r="D1396" s="279">
        <v>45793</v>
      </c>
      <c r="E1396" s="279">
        <v>45793</v>
      </c>
      <c r="F1396" s="132"/>
      <c r="G1396" s="132" t="s">
        <v>1108</v>
      </c>
      <c r="H1396" s="132" t="s">
        <v>373</v>
      </c>
      <c r="I1396" s="132" t="s">
        <v>1100</v>
      </c>
      <c r="J1396" s="132" t="s">
        <v>3827</v>
      </c>
      <c r="K1396" s="132" t="s">
        <v>3828</v>
      </c>
      <c r="L1396" s="132" t="s">
        <v>3829</v>
      </c>
      <c r="M1396" s="132" t="s">
        <v>4328</v>
      </c>
      <c r="N1396" s="132" t="s">
        <v>1112</v>
      </c>
      <c r="O1396" s="132" t="s">
        <v>3391</v>
      </c>
      <c r="P1396" s="132" t="s">
        <v>4329</v>
      </c>
      <c r="Q1396" s="132" t="s">
        <v>4305</v>
      </c>
      <c r="R1396" s="132" t="s">
        <v>1108</v>
      </c>
    </row>
    <row r="1397" spans="1:18" x14ac:dyDescent="0.2">
      <c r="A1397" t="s">
        <v>234</v>
      </c>
      <c r="B1397" s="141">
        <f t="shared" si="21"/>
        <v>23.1</v>
      </c>
      <c r="C1397" s="280">
        <v>45791</v>
      </c>
      <c r="D1397" s="279">
        <v>45793</v>
      </c>
      <c r="E1397" s="279">
        <v>45793</v>
      </c>
      <c r="F1397" s="132"/>
      <c r="G1397" s="132" t="s">
        <v>1108</v>
      </c>
      <c r="H1397" s="132" t="s">
        <v>373</v>
      </c>
      <c r="I1397" s="132" t="s">
        <v>1100</v>
      </c>
      <c r="J1397" s="132" t="s">
        <v>3827</v>
      </c>
      <c r="K1397" s="132" t="s">
        <v>3828</v>
      </c>
      <c r="L1397" s="132" t="s">
        <v>3829</v>
      </c>
      <c r="M1397" s="132" t="s">
        <v>4330</v>
      </c>
      <c r="N1397" s="132" t="s">
        <v>1112</v>
      </c>
      <c r="O1397" s="132" t="s">
        <v>3391</v>
      </c>
      <c r="P1397" s="132" t="s">
        <v>4331</v>
      </c>
      <c r="Q1397" s="132" t="s">
        <v>4305</v>
      </c>
      <c r="R1397" s="132" t="s">
        <v>1108</v>
      </c>
    </row>
    <row r="1398" spans="1:18" x14ac:dyDescent="0.2">
      <c r="A1398" t="s">
        <v>234</v>
      </c>
      <c r="B1398" s="141">
        <f t="shared" si="21"/>
        <v>23.1</v>
      </c>
      <c r="C1398" s="280">
        <v>45791</v>
      </c>
      <c r="D1398" s="279">
        <v>45793</v>
      </c>
      <c r="E1398" s="279">
        <v>45793</v>
      </c>
      <c r="F1398" s="132"/>
      <c r="G1398" s="132" t="s">
        <v>1108</v>
      </c>
      <c r="H1398" s="132" t="s">
        <v>373</v>
      </c>
      <c r="I1398" s="132" t="s">
        <v>1100</v>
      </c>
      <c r="J1398" s="132" t="s">
        <v>3827</v>
      </c>
      <c r="K1398" s="132" t="s">
        <v>3828</v>
      </c>
      <c r="L1398" s="132" t="s">
        <v>3829</v>
      </c>
      <c r="M1398" s="132" t="s">
        <v>4332</v>
      </c>
      <c r="N1398" s="132" t="s">
        <v>1112</v>
      </c>
      <c r="O1398" s="132" t="s">
        <v>3391</v>
      </c>
      <c r="P1398" s="132" t="s">
        <v>4333</v>
      </c>
      <c r="Q1398" s="132" t="s">
        <v>4305</v>
      </c>
      <c r="R1398" s="132" t="s">
        <v>1108</v>
      </c>
    </row>
    <row r="1399" spans="1:18" x14ac:dyDescent="0.2">
      <c r="A1399" t="s">
        <v>234</v>
      </c>
      <c r="B1399" s="141">
        <f t="shared" ref="B1399:B1462" si="23">_xlfn.NUMBERVALUE(L1399)*0.01</f>
        <v>23.1</v>
      </c>
      <c r="C1399" s="280">
        <v>45791</v>
      </c>
      <c r="D1399" s="279">
        <v>45793</v>
      </c>
      <c r="E1399" s="279">
        <v>45793</v>
      </c>
      <c r="F1399" s="132"/>
      <c r="G1399" s="132" t="s">
        <v>1108</v>
      </c>
      <c r="H1399" s="132" t="s">
        <v>373</v>
      </c>
      <c r="I1399" s="132" t="s">
        <v>1100</v>
      </c>
      <c r="J1399" s="132" t="s">
        <v>3827</v>
      </c>
      <c r="K1399" s="132" t="s">
        <v>3828</v>
      </c>
      <c r="L1399" s="132" t="s">
        <v>3829</v>
      </c>
      <c r="M1399" s="132" t="s">
        <v>4334</v>
      </c>
      <c r="N1399" s="132" t="s">
        <v>1112</v>
      </c>
      <c r="O1399" s="132" t="s">
        <v>3391</v>
      </c>
      <c r="P1399" s="132" t="s">
        <v>4335</v>
      </c>
      <c r="Q1399" s="132" t="s">
        <v>4305</v>
      </c>
      <c r="R1399" s="132" t="s">
        <v>1108</v>
      </c>
    </row>
    <row r="1400" spans="1:18" x14ac:dyDescent="0.2">
      <c r="A1400" t="s">
        <v>235</v>
      </c>
      <c r="B1400" s="141">
        <f t="shared" si="23"/>
        <v>27</v>
      </c>
      <c r="C1400" s="280">
        <v>45791</v>
      </c>
      <c r="D1400" s="279">
        <v>45793</v>
      </c>
      <c r="E1400" s="279">
        <v>45793</v>
      </c>
      <c r="F1400" s="132"/>
      <c r="G1400" s="132" t="s">
        <v>1108</v>
      </c>
      <c r="H1400" s="132" t="s">
        <v>373</v>
      </c>
      <c r="I1400" s="132" t="s">
        <v>1100</v>
      </c>
      <c r="J1400" s="132" t="s">
        <v>3849</v>
      </c>
      <c r="K1400" s="132" t="s">
        <v>1714</v>
      </c>
      <c r="L1400" s="132" t="s">
        <v>4004</v>
      </c>
      <c r="M1400" s="132" t="s">
        <v>4336</v>
      </c>
      <c r="N1400" s="132" t="s">
        <v>1112</v>
      </c>
      <c r="O1400" s="132" t="s">
        <v>3391</v>
      </c>
      <c r="P1400" s="132" t="s">
        <v>4337</v>
      </c>
      <c r="Q1400" s="132" t="s">
        <v>4305</v>
      </c>
      <c r="R1400" s="132" t="s">
        <v>1108</v>
      </c>
    </row>
    <row r="1401" spans="1:18" x14ac:dyDescent="0.2">
      <c r="A1401" t="s">
        <v>234</v>
      </c>
      <c r="B1401" s="141">
        <f t="shared" si="23"/>
        <v>23.1</v>
      </c>
      <c r="C1401" s="280">
        <v>45792</v>
      </c>
      <c r="D1401" s="279">
        <v>45796</v>
      </c>
      <c r="E1401" s="279">
        <v>45796</v>
      </c>
      <c r="F1401" s="132"/>
      <c r="G1401" s="132" t="s">
        <v>1108</v>
      </c>
      <c r="H1401" s="132" t="s">
        <v>373</v>
      </c>
      <c r="I1401" s="132" t="s">
        <v>1100</v>
      </c>
      <c r="J1401" s="132" t="s">
        <v>3827</v>
      </c>
      <c r="K1401" s="132" t="s">
        <v>3828</v>
      </c>
      <c r="L1401" s="132" t="s">
        <v>3829</v>
      </c>
      <c r="M1401" s="132" t="s">
        <v>4338</v>
      </c>
      <c r="N1401" s="132" t="s">
        <v>1112</v>
      </c>
      <c r="O1401" s="132" t="s">
        <v>3391</v>
      </c>
      <c r="P1401" s="132" t="s">
        <v>4339</v>
      </c>
      <c r="Q1401" s="132" t="s">
        <v>4340</v>
      </c>
      <c r="R1401" s="132" t="s">
        <v>1108</v>
      </c>
    </row>
    <row r="1402" spans="1:18" x14ac:dyDescent="0.2">
      <c r="A1402" t="s">
        <v>234</v>
      </c>
      <c r="B1402" s="141">
        <f t="shared" si="23"/>
        <v>23.240000000000002</v>
      </c>
      <c r="C1402" s="280">
        <v>45792</v>
      </c>
      <c r="D1402" s="279">
        <v>45796</v>
      </c>
      <c r="E1402" s="279">
        <v>45796</v>
      </c>
      <c r="F1402" s="132"/>
      <c r="G1402" s="132" t="s">
        <v>4341</v>
      </c>
      <c r="H1402" s="132" t="s">
        <v>373</v>
      </c>
      <c r="I1402" s="132" t="s">
        <v>1100</v>
      </c>
      <c r="J1402" s="132" t="s">
        <v>3827</v>
      </c>
      <c r="K1402" s="132" t="s">
        <v>3834</v>
      </c>
      <c r="L1402" s="132" t="s">
        <v>3835</v>
      </c>
      <c r="M1402" s="132" t="s">
        <v>4342</v>
      </c>
      <c r="N1402" s="132" t="s">
        <v>1105</v>
      </c>
      <c r="O1402" s="132" t="s">
        <v>3391</v>
      </c>
      <c r="P1402" s="132" t="s">
        <v>4343</v>
      </c>
      <c r="Q1402" s="132" t="s">
        <v>4340</v>
      </c>
      <c r="R1402" s="132" t="s">
        <v>1108</v>
      </c>
    </row>
    <row r="1403" spans="1:18" x14ac:dyDescent="0.2">
      <c r="A1403" t="s">
        <v>235</v>
      </c>
      <c r="B1403" s="141">
        <f t="shared" si="23"/>
        <v>50.71</v>
      </c>
      <c r="C1403" s="280">
        <v>45792</v>
      </c>
      <c r="D1403" s="279">
        <v>45796</v>
      </c>
      <c r="E1403" s="279">
        <v>45796</v>
      </c>
      <c r="F1403" s="132"/>
      <c r="G1403" s="132" t="s">
        <v>1108</v>
      </c>
      <c r="H1403" s="132" t="s">
        <v>373</v>
      </c>
      <c r="I1403" s="132" t="s">
        <v>1100</v>
      </c>
      <c r="J1403" s="132" t="s">
        <v>3882</v>
      </c>
      <c r="K1403" s="132" t="s">
        <v>3943</v>
      </c>
      <c r="L1403" s="132" t="s">
        <v>3944</v>
      </c>
      <c r="M1403" s="132" t="s">
        <v>4344</v>
      </c>
      <c r="N1403" s="132" t="s">
        <v>1117</v>
      </c>
      <c r="O1403" s="132" t="s">
        <v>3391</v>
      </c>
      <c r="P1403" s="132" t="s">
        <v>4345</v>
      </c>
      <c r="Q1403" s="132" t="s">
        <v>4340</v>
      </c>
      <c r="R1403" s="132" t="s">
        <v>1108</v>
      </c>
    </row>
    <row r="1404" spans="1:18" x14ac:dyDescent="0.2">
      <c r="A1404" t="s">
        <v>234</v>
      </c>
      <c r="B1404" s="141">
        <f t="shared" si="23"/>
        <v>23.240000000000002</v>
      </c>
      <c r="C1404" s="280">
        <v>45792</v>
      </c>
      <c r="D1404" s="279">
        <v>45796</v>
      </c>
      <c r="E1404" s="279">
        <v>45796</v>
      </c>
      <c r="F1404" s="132"/>
      <c r="G1404" s="132" t="s">
        <v>1108</v>
      </c>
      <c r="H1404" s="132" t="s">
        <v>373</v>
      </c>
      <c r="I1404" s="132" t="s">
        <v>1100</v>
      </c>
      <c r="J1404" s="132" t="s">
        <v>3827</v>
      </c>
      <c r="K1404" s="132" t="s">
        <v>3834</v>
      </c>
      <c r="L1404" s="132" t="s">
        <v>3835</v>
      </c>
      <c r="M1404" s="132" t="s">
        <v>4346</v>
      </c>
      <c r="N1404" s="132" t="s">
        <v>1117</v>
      </c>
      <c r="O1404" s="132" t="s">
        <v>3391</v>
      </c>
      <c r="P1404" s="132" t="s">
        <v>4347</v>
      </c>
      <c r="Q1404" s="132" t="s">
        <v>4340</v>
      </c>
      <c r="R1404" s="132" t="s">
        <v>1108</v>
      </c>
    </row>
    <row r="1405" spans="1:18" x14ac:dyDescent="0.2">
      <c r="A1405" t="s">
        <v>234</v>
      </c>
      <c r="B1405" s="141">
        <f t="shared" si="23"/>
        <v>23.1</v>
      </c>
      <c r="C1405" s="280">
        <v>45792</v>
      </c>
      <c r="D1405" s="279">
        <v>45796</v>
      </c>
      <c r="E1405" s="279">
        <v>45796</v>
      </c>
      <c r="F1405" s="132"/>
      <c r="G1405" s="132" t="s">
        <v>1108</v>
      </c>
      <c r="H1405" s="132" t="s">
        <v>373</v>
      </c>
      <c r="I1405" s="132" t="s">
        <v>1100</v>
      </c>
      <c r="J1405" s="132" t="s">
        <v>3827</v>
      </c>
      <c r="K1405" s="132" t="s">
        <v>3828</v>
      </c>
      <c r="L1405" s="132" t="s">
        <v>3829</v>
      </c>
      <c r="M1405" s="132" t="s">
        <v>4348</v>
      </c>
      <c r="N1405" s="132" t="s">
        <v>1112</v>
      </c>
      <c r="O1405" s="132" t="s">
        <v>3391</v>
      </c>
      <c r="P1405" s="132" t="s">
        <v>4349</v>
      </c>
      <c r="Q1405" s="132" t="s">
        <v>4340</v>
      </c>
      <c r="R1405" s="132" t="s">
        <v>1108</v>
      </c>
    </row>
    <row r="1406" spans="1:18" x14ac:dyDescent="0.2">
      <c r="A1406" t="s">
        <v>234</v>
      </c>
      <c r="B1406" s="141">
        <f t="shared" si="23"/>
        <v>23.1</v>
      </c>
      <c r="C1406" s="280">
        <v>45792</v>
      </c>
      <c r="D1406" s="279">
        <v>45796</v>
      </c>
      <c r="E1406" s="279">
        <v>45796</v>
      </c>
      <c r="F1406" s="132"/>
      <c r="G1406" s="132" t="s">
        <v>1108</v>
      </c>
      <c r="H1406" s="132" t="s">
        <v>373</v>
      </c>
      <c r="I1406" s="132" t="s">
        <v>1100</v>
      </c>
      <c r="J1406" s="132" t="s">
        <v>3827</v>
      </c>
      <c r="K1406" s="132" t="s">
        <v>3828</v>
      </c>
      <c r="L1406" s="132" t="s">
        <v>3829</v>
      </c>
      <c r="M1406" s="132" t="s">
        <v>4350</v>
      </c>
      <c r="N1406" s="132" t="s">
        <v>1112</v>
      </c>
      <c r="O1406" s="132" t="s">
        <v>3391</v>
      </c>
      <c r="P1406" s="132" t="s">
        <v>4351</v>
      </c>
      <c r="Q1406" s="132" t="s">
        <v>4340</v>
      </c>
      <c r="R1406" s="132" t="s">
        <v>1108</v>
      </c>
    </row>
    <row r="1407" spans="1:18" x14ac:dyDescent="0.2">
      <c r="A1407" t="s">
        <v>234</v>
      </c>
      <c r="B1407" s="141">
        <f t="shared" si="23"/>
        <v>23.240000000000002</v>
      </c>
      <c r="C1407" s="280">
        <v>45792</v>
      </c>
      <c r="D1407" s="279">
        <v>45796</v>
      </c>
      <c r="E1407" s="279">
        <v>45796</v>
      </c>
      <c r="F1407" s="132"/>
      <c r="G1407" s="132" t="s">
        <v>2206</v>
      </c>
      <c r="H1407" s="132" t="s">
        <v>373</v>
      </c>
      <c r="I1407" s="132" t="s">
        <v>1100</v>
      </c>
      <c r="J1407" s="132" t="s">
        <v>3827</v>
      </c>
      <c r="K1407" s="132" t="s">
        <v>3834</v>
      </c>
      <c r="L1407" s="132" t="s">
        <v>3835</v>
      </c>
      <c r="M1407" s="132" t="s">
        <v>4352</v>
      </c>
      <c r="N1407" s="132" t="s">
        <v>1105</v>
      </c>
      <c r="O1407" s="132" t="s">
        <v>3391</v>
      </c>
      <c r="P1407" s="132" t="s">
        <v>4353</v>
      </c>
      <c r="Q1407" s="132" t="s">
        <v>4340</v>
      </c>
      <c r="R1407" s="132" t="s">
        <v>1108</v>
      </c>
    </row>
    <row r="1408" spans="1:18" x14ac:dyDescent="0.2">
      <c r="A1408" t="s">
        <v>234</v>
      </c>
      <c r="B1408" s="141">
        <f t="shared" si="23"/>
        <v>23.1</v>
      </c>
      <c r="C1408" s="280">
        <v>45792</v>
      </c>
      <c r="D1408" s="279">
        <v>45796</v>
      </c>
      <c r="E1408" s="279">
        <v>45796</v>
      </c>
      <c r="F1408" s="132"/>
      <c r="G1408" s="132" t="s">
        <v>1108</v>
      </c>
      <c r="H1408" s="132" t="s">
        <v>373</v>
      </c>
      <c r="I1408" s="132" t="s">
        <v>1100</v>
      </c>
      <c r="J1408" s="132" t="s">
        <v>3827</v>
      </c>
      <c r="K1408" s="132" t="s">
        <v>3828</v>
      </c>
      <c r="L1408" s="132" t="s">
        <v>3829</v>
      </c>
      <c r="M1408" s="132" t="s">
        <v>4354</v>
      </c>
      <c r="N1408" s="132" t="s">
        <v>1112</v>
      </c>
      <c r="O1408" s="132" t="s">
        <v>3391</v>
      </c>
      <c r="P1408" s="132" t="s">
        <v>4355</v>
      </c>
      <c r="Q1408" s="132" t="s">
        <v>4340</v>
      </c>
      <c r="R1408" s="132" t="s">
        <v>1108</v>
      </c>
    </row>
    <row r="1409" spans="1:18" x14ac:dyDescent="0.2">
      <c r="A1409" t="s">
        <v>234</v>
      </c>
      <c r="B1409" s="141">
        <f t="shared" si="23"/>
        <v>23.240000000000002</v>
      </c>
      <c r="C1409" s="280">
        <v>45792</v>
      </c>
      <c r="D1409" s="279">
        <v>45796</v>
      </c>
      <c r="E1409" s="279">
        <v>45796</v>
      </c>
      <c r="F1409" s="132"/>
      <c r="G1409" s="132" t="s">
        <v>1108</v>
      </c>
      <c r="H1409" s="132" t="s">
        <v>373</v>
      </c>
      <c r="I1409" s="132" t="s">
        <v>1100</v>
      </c>
      <c r="J1409" s="132" t="s">
        <v>3827</v>
      </c>
      <c r="K1409" s="132" t="s">
        <v>3834</v>
      </c>
      <c r="L1409" s="132" t="s">
        <v>3835</v>
      </c>
      <c r="M1409" s="132" t="s">
        <v>4356</v>
      </c>
      <c r="N1409" s="132" t="s">
        <v>1117</v>
      </c>
      <c r="O1409" s="132" t="s">
        <v>3391</v>
      </c>
      <c r="P1409" s="132" t="s">
        <v>4357</v>
      </c>
      <c r="Q1409" s="132" t="s">
        <v>4340</v>
      </c>
      <c r="R1409" s="132" t="s">
        <v>1108</v>
      </c>
    </row>
    <row r="1410" spans="1:18" x14ac:dyDescent="0.2">
      <c r="A1410" t="s">
        <v>235</v>
      </c>
      <c r="B1410" s="141">
        <f t="shared" si="23"/>
        <v>27.17</v>
      </c>
      <c r="C1410" s="280">
        <v>45792</v>
      </c>
      <c r="D1410" s="279">
        <v>45796</v>
      </c>
      <c r="E1410" s="279">
        <v>45796</v>
      </c>
      <c r="F1410" s="132"/>
      <c r="G1410" s="132" t="s">
        <v>1108</v>
      </c>
      <c r="H1410" s="132" t="s">
        <v>373</v>
      </c>
      <c r="I1410" s="132" t="s">
        <v>1100</v>
      </c>
      <c r="J1410" s="132" t="s">
        <v>3849</v>
      </c>
      <c r="K1410" s="132" t="s">
        <v>3850</v>
      </c>
      <c r="L1410" s="132" t="s">
        <v>3851</v>
      </c>
      <c r="M1410" s="132" t="s">
        <v>4358</v>
      </c>
      <c r="N1410" s="132" t="s">
        <v>1117</v>
      </c>
      <c r="O1410" s="132" t="s">
        <v>3391</v>
      </c>
      <c r="P1410" s="132" t="s">
        <v>4359</v>
      </c>
      <c r="Q1410" s="132" t="s">
        <v>4340</v>
      </c>
      <c r="R1410" s="132" t="s">
        <v>1108</v>
      </c>
    </row>
    <row r="1411" spans="1:18" x14ac:dyDescent="0.2">
      <c r="A1411" t="s">
        <v>234</v>
      </c>
      <c r="B1411" s="141">
        <f t="shared" si="23"/>
        <v>23.240000000000002</v>
      </c>
      <c r="C1411" s="280">
        <v>45792</v>
      </c>
      <c r="D1411" s="279">
        <v>45796</v>
      </c>
      <c r="E1411" s="279">
        <v>45796</v>
      </c>
      <c r="F1411" s="132"/>
      <c r="G1411" s="132" t="s">
        <v>1108</v>
      </c>
      <c r="H1411" s="132" t="s">
        <v>373</v>
      </c>
      <c r="I1411" s="132" t="s">
        <v>1100</v>
      </c>
      <c r="J1411" s="132" t="s">
        <v>3827</v>
      </c>
      <c r="K1411" s="132" t="s">
        <v>3834</v>
      </c>
      <c r="L1411" s="132" t="s">
        <v>3835</v>
      </c>
      <c r="M1411" s="132" t="s">
        <v>4360</v>
      </c>
      <c r="N1411" s="132" t="s">
        <v>1117</v>
      </c>
      <c r="O1411" s="132" t="s">
        <v>3391</v>
      </c>
      <c r="P1411" s="132" t="s">
        <v>4361</v>
      </c>
      <c r="Q1411" s="132" t="s">
        <v>4340</v>
      </c>
      <c r="R1411" s="132" t="s">
        <v>1108</v>
      </c>
    </row>
    <row r="1412" spans="1:18" x14ac:dyDescent="0.2">
      <c r="A1412" t="s">
        <v>234</v>
      </c>
      <c r="B1412" s="141">
        <f t="shared" si="23"/>
        <v>23.1</v>
      </c>
      <c r="C1412" s="280">
        <v>45792</v>
      </c>
      <c r="D1412" s="279">
        <v>45796</v>
      </c>
      <c r="E1412" s="279">
        <v>45796</v>
      </c>
      <c r="F1412" s="132"/>
      <c r="G1412" s="132" t="s">
        <v>1108</v>
      </c>
      <c r="H1412" s="132" t="s">
        <v>373</v>
      </c>
      <c r="I1412" s="132" t="s">
        <v>1100</v>
      </c>
      <c r="J1412" s="132" t="s">
        <v>3827</v>
      </c>
      <c r="K1412" s="132" t="s">
        <v>3828</v>
      </c>
      <c r="L1412" s="132" t="s">
        <v>3829</v>
      </c>
      <c r="M1412" s="132" t="s">
        <v>4362</v>
      </c>
      <c r="N1412" s="132" t="s">
        <v>1112</v>
      </c>
      <c r="O1412" s="132" t="s">
        <v>3391</v>
      </c>
      <c r="P1412" s="132" t="s">
        <v>4363</v>
      </c>
      <c r="Q1412" s="132" t="s">
        <v>4340</v>
      </c>
      <c r="R1412" s="132" t="s">
        <v>1108</v>
      </c>
    </row>
    <row r="1413" spans="1:18" x14ac:dyDescent="0.2">
      <c r="A1413" t="s">
        <v>235</v>
      </c>
      <c r="B1413" s="141">
        <f t="shared" si="23"/>
        <v>27.17</v>
      </c>
      <c r="C1413" s="280">
        <v>45792</v>
      </c>
      <c r="D1413" s="279">
        <v>45796</v>
      </c>
      <c r="E1413" s="279">
        <v>45796</v>
      </c>
      <c r="F1413" s="132"/>
      <c r="G1413" s="132" t="s">
        <v>1108</v>
      </c>
      <c r="H1413" s="132" t="s">
        <v>373</v>
      </c>
      <c r="I1413" s="132" t="s">
        <v>1100</v>
      </c>
      <c r="J1413" s="132" t="s">
        <v>3849</v>
      </c>
      <c r="K1413" s="132" t="s">
        <v>3850</v>
      </c>
      <c r="L1413" s="132" t="s">
        <v>3851</v>
      </c>
      <c r="M1413" s="132" t="s">
        <v>4364</v>
      </c>
      <c r="N1413" s="132" t="s">
        <v>1117</v>
      </c>
      <c r="O1413" s="132" t="s">
        <v>3391</v>
      </c>
      <c r="P1413" s="132" t="s">
        <v>4365</v>
      </c>
      <c r="Q1413" s="132" t="s">
        <v>4340</v>
      </c>
      <c r="R1413" s="132" t="s">
        <v>1108</v>
      </c>
    </row>
    <row r="1414" spans="1:18" x14ac:dyDescent="0.2">
      <c r="A1414" t="s">
        <v>234</v>
      </c>
      <c r="B1414" s="141">
        <f t="shared" si="23"/>
        <v>23.1</v>
      </c>
      <c r="C1414" s="280">
        <v>45793</v>
      </c>
      <c r="D1414" s="279">
        <v>45796</v>
      </c>
      <c r="E1414" s="279">
        <v>45796</v>
      </c>
      <c r="F1414" s="132"/>
      <c r="G1414" s="132" t="s">
        <v>1108</v>
      </c>
      <c r="H1414" s="132" t="s">
        <v>373</v>
      </c>
      <c r="I1414" s="132" t="s">
        <v>1100</v>
      </c>
      <c r="J1414" s="132" t="s">
        <v>3827</v>
      </c>
      <c r="K1414" s="132" t="s">
        <v>3828</v>
      </c>
      <c r="L1414" s="132" t="s">
        <v>3829</v>
      </c>
      <c r="M1414" s="132" t="s">
        <v>4366</v>
      </c>
      <c r="N1414" s="132" t="s">
        <v>1112</v>
      </c>
      <c r="O1414" s="132" t="s">
        <v>3391</v>
      </c>
      <c r="P1414" s="132" t="s">
        <v>4367</v>
      </c>
      <c r="Q1414" s="132" t="s">
        <v>4340</v>
      </c>
      <c r="R1414" s="132" t="s">
        <v>1108</v>
      </c>
    </row>
    <row r="1415" spans="1:18" x14ac:dyDescent="0.2">
      <c r="A1415" t="s">
        <v>234</v>
      </c>
      <c r="B1415" s="141">
        <f t="shared" si="23"/>
        <v>23.1</v>
      </c>
      <c r="C1415" s="280">
        <v>45793</v>
      </c>
      <c r="D1415" s="279">
        <v>45797</v>
      </c>
      <c r="E1415" s="279">
        <v>45797</v>
      </c>
      <c r="F1415" s="132"/>
      <c r="G1415" s="132" t="s">
        <v>1108</v>
      </c>
      <c r="H1415" s="132" t="s">
        <v>373</v>
      </c>
      <c r="I1415" s="132" t="s">
        <v>1100</v>
      </c>
      <c r="J1415" s="132" t="s">
        <v>3827</v>
      </c>
      <c r="K1415" s="132" t="s">
        <v>3828</v>
      </c>
      <c r="L1415" s="132" t="s">
        <v>3829</v>
      </c>
      <c r="M1415" s="132" t="s">
        <v>4368</v>
      </c>
      <c r="N1415" s="132" t="s">
        <v>1112</v>
      </c>
      <c r="O1415" s="132" t="s">
        <v>3391</v>
      </c>
      <c r="P1415" s="132" t="s">
        <v>4369</v>
      </c>
      <c r="Q1415" s="132" t="s">
        <v>4370</v>
      </c>
      <c r="R1415" s="132" t="s">
        <v>1108</v>
      </c>
    </row>
    <row r="1416" spans="1:18" x14ac:dyDescent="0.2">
      <c r="A1416" t="s">
        <v>235</v>
      </c>
      <c r="B1416" s="141">
        <f t="shared" si="23"/>
        <v>27.17</v>
      </c>
      <c r="C1416" s="280">
        <v>45793</v>
      </c>
      <c r="D1416" s="279">
        <v>45797</v>
      </c>
      <c r="E1416" s="279">
        <v>45797</v>
      </c>
      <c r="F1416" s="132"/>
      <c r="G1416" s="132" t="s">
        <v>1108</v>
      </c>
      <c r="H1416" s="132" t="s">
        <v>373</v>
      </c>
      <c r="I1416" s="132" t="s">
        <v>1100</v>
      </c>
      <c r="J1416" s="132" t="s">
        <v>3849</v>
      </c>
      <c r="K1416" s="132" t="s">
        <v>3850</v>
      </c>
      <c r="L1416" s="132" t="s">
        <v>3851</v>
      </c>
      <c r="M1416" s="132" t="s">
        <v>4371</v>
      </c>
      <c r="N1416" s="132" t="s">
        <v>1117</v>
      </c>
      <c r="O1416" s="132" t="s">
        <v>3391</v>
      </c>
      <c r="P1416" s="132" t="s">
        <v>4372</v>
      </c>
      <c r="Q1416" s="132" t="s">
        <v>4370</v>
      </c>
      <c r="R1416" s="132" t="s">
        <v>1108</v>
      </c>
    </row>
    <row r="1417" spans="1:18" x14ac:dyDescent="0.2">
      <c r="A1417" t="s">
        <v>234</v>
      </c>
      <c r="B1417" s="141">
        <f t="shared" si="23"/>
        <v>23.240000000000002</v>
      </c>
      <c r="C1417" s="280">
        <v>45793</v>
      </c>
      <c r="D1417" s="279">
        <v>45797</v>
      </c>
      <c r="E1417" s="279">
        <v>45797</v>
      </c>
      <c r="F1417" s="132"/>
      <c r="G1417" s="132" t="s">
        <v>1435</v>
      </c>
      <c r="H1417" s="132" t="s">
        <v>373</v>
      </c>
      <c r="I1417" s="132" t="s">
        <v>1100</v>
      </c>
      <c r="J1417" s="132" t="s">
        <v>3827</v>
      </c>
      <c r="K1417" s="132" t="s">
        <v>3834</v>
      </c>
      <c r="L1417" s="132" t="s">
        <v>3835</v>
      </c>
      <c r="M1417" s="132" t="s">
        <v>4373</v>
      </c>
      <c r="N1417" s="132" t="s">
        <v>1105</v>
      </c>
      <c r="O1417" s="132" t="s">
        <v>3391</v>
      </c>
      <c r="P1417" s="132" t="s">
        <v>4374</v>
      </c>
      <c r="Q1417" s="132" t="s">
        <v>4370</v>
      </c>
      <c r="R1417" s="132" t="s">
        <v>1108</v>
      </c>
    </row>
    <row r="1418" spans="1:18" x14ac:dyDescent="0.2">
      <c r="A1418" t="s">
        <v>235</v>
      </c>
      <c r="B1418" s="141">
        <f t="shared" si="23"/>
        <v>27.17</v>
      </c>
      <c r="C1418" s="280">
        <v>45793</v>
      </c>
      <c r="D1418" s="279">
        <v>45797</v>
      </c>
      <c r="E1418" s="279">
        <v>45797</v>
      </c>
      <c r="F1418" s="132"/>
      <c r="G1418" s="132" t="s">
        <v>1108</v>
      </c>
      <c r="H1418" s="132" t="s">
        <v>373</v>
      </c>
      <c r="I1418" s="132" t="s">
        <v>1100</v>
      </c>
      <c r="J1418" s="132" t="s">
        <v>3849</v>
      </c>
      <c r="K1418" s="132" t="s">
        <v>3850</v>
      </c>
      <c r="L1418" s="132" t="s">
        <v>3851</v>
      </c>
      <c r="M1418" s="132" t="s">
        <v>4375</v>
      </c>
      <c r="N1418" s="132" t="s">
        <v>1117</v>
      </c>
      <c r="O1418" s="132" t="s">
        <v>3391</v>
      </c>
      <c r="P1418" s="132" t="s">
        <v>4376</v>
      </c>
      <c r="Q1418" s="132" t="s">
        <v>4370</v>
      </c>
      <c r="R1418" s="132" t="s">
        <v>1108</v>
      </c>
    </row>
    <row r="1419" spans="1:18" x14ac:dyDescent="0.2">
      <c r="A1419" t="s">
        <v>235</v>
      </c>
      <c r="B1419" s="141">
        <f t="shared" si="23"/>
        <v>50.4</v>
      </c>
      <c r="C1419" s="280">
        <v>45793</v>
      </c>
      <c r="D1419" s="279">
        <v>45797</v>
      </c>
      <c r="E1419" s="279">
        <v>45797</v>
      </c>
      <c r="F1419" s="132"/>
      <c r="G1419" s="132" t="s">
        <v>1108</v>
      </c>
      <c r="H1419" s="132" t="s">
        <v>373</v>
      </c>
      <c r="I1419" s="132" t="s">
        <v>1100</v>
      </c>
      <c r="J1419" s="132" t="s">
        <v>3882</v>
      </c>
      <c r="K1419" s="132" t="s">
        <v>3883</v>
      </c>
      <c r="L1419" s="132" t="s">
        <v>3884</v>
      </c>
      <c r="M1419" s="132" t="s">
        <v>4377</v>
      </c>
      <c r="N1419" s="132" t="s">
        <v>1112</v>
      </c>
      <c r="O1419" s="132" t="s">
        <v>3391</v>
      </c>
      <c r="P1419" s="132" t="s">
        <v>4378</v>
      </c>
      <c r="Q1419" s="132" t="s">
        <v>4370</v>
      </c>
      <c r="R1419" s="132" t="s">
        <v>1108</v>
      </c>
    </row>
    <row r="1420" spans="1:18" x14ac:dyDescent="0.2">
      <c r="A1420" t="s">
        <v>234</v>
      </c>
      <c r="B1420" s="141">
        <f t="shared" si="23"/>
        <v>23.240000000000002</v>
      </c>
      <c r="C1420" s="280">
        <v>45793</v>
      </c>
      <c r="D1420" s="279">
        <v>45797</v>
      </c>
      <c r="E1420" s="279">
        <v>45797</v>
      </c>
      <c r="F1420" s="132"/>
      <c r="G1420" s="132" t="s">
        <v>1108</v>
      </c>
      <c r="H1420" s="132" t="s">
        <v>373</v>
      </c>
      <c r="I1420" s="132" t="s">
        <v>1100</v>
      </c>
      <c r="J1420" s="132" t="s">
        <v>3827</v>
      </c>
      <c r="K1420" s="132" t="s">
        <v>3834</v>
      </c>
      <c r="L1420" s="132" t="s">
        <v>3835</v>
      </c>
      <c r="M1420" s="132" t="s">
        <v>4379</v>
      </c>
      <c r="N1420" s="132" t="s">
        <v>1117</v>
      </c>
      <c r="O1420" s="132" t="s">
        <v>3391</v>
      </c>
      <c r="P1420" s="132" t="s">
        <v>4380</v>
      </c>
      <c r="Q1420" s="132" t="s">
        <v>4370</v>
      </c>
      <c r="R1420" s="132" t="s">
        <v>1108</v>
      </c>
    </row>
    <row r="1421" spans="1:18" x14ac:dyDescent="0.2">
      <c r="A1421" t="s">
        <v>234</v>
      </c>
      <c r="B1421" s="141">
        <f t="shared" si="23"/>
        <v>23.1</v>
      </c>
      <c r="C1421" s="280">
        <v>45793</v>
      </c>
      <c r="D1421" s="279">
        <v>45797</v>
      </c>
      <c r="E1421" s="279">
        <v>45797</v>
      </c>
      <c r="F1421" s="132"/>
      <c r="G1421" s="132" t="s">
        <v>1108</v>
      </c>
      <c r="H1421" s="132" t="s">
        <v>373</v>
      </c>
      <c r="I1421" s="132" t="s">
        <v>1100</v>
      </c>
      <c r="J1421" s="132" t="s">
        <v>3827</v>
      </c>
      <c r="K1421" s="132" t="s">
        <v>3828</v>
      </c>
      <c r="L1421" s="132" t="s">
        <v>3829</v>
      </c>
      <c r="M1421" s="132" t="s">
        <v>4381</v>
      </c>
      <c r="N1421" s="132" t="s">
        <v>1112</v>
      </c>
      <c r="O1421" s="132" t="s">
        <v>3391</v>
      </c>
      <c r="P1421" s="132" t="s">
        <v>4382</v>
      </c>
      <c r="Q1421" s="132" t="s">
        <v>4370</v>
      </c>
      <c r="R1421" s="132" t="s">
        <v>1108</v>
      </c>
    </row>
    <row r="1422" spans="1:18" x14ac:dyDescent="0.2">
      <c r="A1422" t="s">
        <v>234</v>
      </c>
      <c r="B1422" s="141">
        <f t="shared" si="23"/>
        <v>23.1</v>
      </c>
      <c r="C1422" s="280">
        <v>45793</v>
      </c>
      <c r="D1422" s="279">
        <v>45797</v>
      </c>
      <c r="E1422" s="279">
        <v>45797</v>
      </c>
      <c r="F1422" s="132"/>
      <c r="G1422" s="132" t="s">
        <v>1108</v>
      </c>
      <c r="H1422" s="132" t="s">
        <v>373</v>
      </c>
      <c r="I1422" s="132" t="s">
        <v>1100</v>
      </c>
      <c r="J1422" s="132" t="s">
        <v>3827</v>
      </c>
      <c r="K1422" s="132" t="s">
        <v>3828</v>
      </c>
      <c r="L1422" s="132" t="s">
        <v>3829</v>
      </c>
      <c r="M1422" s="132" t="s">
        <v>4383</v>
      </c>
      <c r="N1422" s="132" t="s">
        <v>1112</v>
      </c>
      <c r="O1422" s="132" t="s">
        <v>3391</v>
      </c>
      <c r="P1422" s="132" t="s">
        <v>4384</v>
      </c>
      <c r="Q1422" s="132" t="s">
        <v>4370</v>
      </c>
      <c r="R1422" s="132" t="s">
        <v>1108</v>
      </c>
    </row>
    <row r="1423" spans="1:18" x14ac:dyDescent="0.2">
      <c r="A1423" t="s">
        <v>235</v>
      </c>
      <c r="B1423" s="141">
        <f t="shared" si="23"/>
        <v>50.71</v>
      </c>
      <c r="C1423" s="280">
        <v>45793</v>
      </c>
      <c r="D1423" s="279">
        <v>45797</v>
      </c>
      <c r="E1423" s="279">
        <v>45797</v>
      </c>
      <c r="F1423" s="132"/>
      <c r="G1423" s="132" t="s">
        <v>4385</v>
      </c>
      <c r="H1423" s="132" t="s">
        <v>373</v>
      </c>
      <c r="I1423" s="132" t="s">
        <v>1100</v>
      </c>
      <c r="J1423" s="132" t="s">
        <v>3882</v>
      </c>
      <c r="K1423" s="132" t="s">
        <v>3943</v>
      </c>
      <c r="L1423" s="132" t="s">
        <v>3944</v>
      </c>
      <c r="M1423" s="132" t="s">
        <v>4386</v>
      </c>
      <c r="N1423" s="132" t="s">
        <v>1105</v>
      </c>
      <c r="O1423" s="132" t="s">
        <v>3391</v>
      </c>
      <c r="P1423" s="132" t="s">
        <v>4387</v>
      </c>
      <c r="Q1423" s="132" t="s">
        <v>4370</v>
      </c>
      <c r="R1423" s="132" t="s">
        <v>1108</v>
      </c>
    </row>
    <row r="1424" spans="1:18" x14ac:dyDescent="0.2">
      <c r="A1424" t="s">
        <v>234</v>
      </c>
      <c r="B1424" s="141">
        <f t="shared" si="23"/>
        <v>23.240000000000002</v>
      </c>
      <c r="C1424" s="280">
        <v>45793</v>
      </c>
      <c r="D1424" s="279">
        <v>45797</v>
      </c>
      <c r="E1424" s="279">
        <v>45797</v>
      </c>
      <c r="F1424" s="132"/>
      <c r="G1424" s="132" t="s">
        <v>4388</v>
      </c>
      <c r="H1424" s="132" t="s">
        <v>373</v>
      </c>
      <c r="I1424" s="132" t="s">
        <v>1100</v>
      </c>
      <c r="J1424" s="132" t="s">
        <v>3827</v>
      </c>
      <c r="K1424" s="132" t="s">
        <v>3834</v>
      </c>
      <c r="L1424" s="132" t="s">
        <v>3835</v>
      </c>
      <c r="M1424" s="132" t="s">
        <v>4389</v>
      </c>
      <c r="N1424" s="132" t="s">
        <v>1105</v>
      </c>
      <c r="O1424" s="132" t="s">
        <v>3391</v>
      </c>
      <c r="P1424" s="132" t="s">
        <v>4390</v>
      </c>
      <c r="Q1424" s="132" t="s">
        <v>4370</v>
      </c>
      <c r="R1424" s="132" t="s">
        <v>1108</v>
      </c>
    </row>
    <row r="1425" spans="1:18" x14ac:dyDescent="0.2">
      <c r="A1425" t="s">
        <v>234</v>
      </c>
      <c r="B1425" s="141">
        <f t="shared" si="23"/>
        <v>23.240000000000002</v>
      </c>
      <c r="C1425" s="280">
        <v>45793</v>
      </c>
      <c r="D1425" s="279">
        <v>45797</v>
      </c>
      <c r="E1425" s="279">
        <v>45797</v>
      </c>
      <c r="F1425" s="132"/>
      <c r="G1425" s="132" t="s">
        <v>1108</v>
      </c>
      <c r="H1425" s="132" t="s">
        <v>373</v>
      </c>
      <c r="I1425" s="132" t="s">
        <v>1100</v>
      </c>
      <c r="J1425" s="132" t="s">
        <v>3827</v>
      </c>
      <c r="K1425" s="132" t="s">
        <v>3834</v>
      </c>
      <c r="L1425" s="132" t="s">
        <v>3835</v>
      </c>
      <c r="M1425" s="132" t="s">
        <v>4391</v>
      </c>
      <c r="N1425" s="132" t="s">
        <v>1117</v>
      </c>
      <c r="O1425" s="132" t="s">
        <v>3391</v>
      </c>
      <c r="P1425" s="281" t="s">
        <v>4392</v>
      </c>
      <c r="Q1425" s="132" t="s">
        <v>4370</v>
      </c>
      <c r="R1425" s="132" t="s">
        <v>1108</v>
      </c>
    </row>
    <row r="1426" spans="1:18" x14ac:dyDescent="0.2">
      <c r="A1426" t="s">
        <v>234</v>
      </c>
      <c r="B1426" s="141">
        <f t="shared" si="23"/>
        <v>23.240000000000002</v>
      </c>
      <c r="C1426" s="280">
        <v>45793</v>
      </c>
      <c r="D1426" s="279">
        <v>45797</v>
      </c>
      <c r="E1426" s="279">
        <v>45797</v>
      </c>
      <c r="F1426" s="132"/>
      <c r="G1426" s="132" t="s">
        <v>1108</v>
      </c>
      <c r="H1426" s="132" t="s">
        <v>373</v>
      </c>
      <c r="I1426" s="132" t="s">
        <v>1100</v>
      </c>
      <c r="J1426" s="132" t="s">
        <v>3827</v>
      </c>
      <c r="K1426" s="132" t="s">
        <v>3834</v>
      </c>
      <c r="L1426" s="132" t="s">
        <v>3835</v>
      </c>
      <c r="M1426" s="281" t="s">
        <v>4393</v>
      </c>
      <c r="N1426" s="132" t="s">
        <v>1117</v>
      </c>
      <c r="O1426" s="132" t="s">
        <v>3391</v>
      </c>
      <c r="P1426" s="132" t="s">
        <v>4394</v>
      </c>
      <c r="Q1426" s="132" t="s">
        <v>4370</v>
      </c>
      <c r="R1426" s="132" t="s">
        <v>1108</v>
      </c>
    </row>
    <row r="1427" spans="1:18" x14ac:dyDescent="0.2">
      <c r="A1427" t="s">
        <v>234</v>
      </c>
      <c r="B1427" s="141">
        <f t="shared" si="23"/>
        <v>23.1</v>
      </c>
      <c r="C1427" s="280">
        <v>45793</v>
      </c>
      <c r="D1427" s="279">
        <v>45797</v>
      </c>
      <c r="E1427" s="279">
        <v>45797</v>
      </c>
      <c r="F1427" s="132"/>
      <c r="G1427" s="132" t="s">
        <v>1108</v>
      </c>
      <c r="H1427" s="132" t="s">
        <v>373</v>
      </c>
      <c r="I1427" s="132" t="s">
        <v>1100</v>
      </c>
      <c r="J1427" s="132" t="s">
        <v>3827</v>
      </c>
      <c r="K1427" s="132" t="s">
        <v>3828</v>
      </c>
      <c r="L1427" s="132" t="s">
        <v>3829</v>
      </c>
      <c r="M1427" s="132" t="s">
        <v>4395</v>
      </c>
      <c r="N1427" s="132" t="s">
        <v>1112</v>
      </c>
      <c r="O1427" s="132" t="s">
        <v>3391</v>
      </c>
      <c r="P1427" s="132" t="s">
        <v>4396</v>
      </c>
      <c r="Q1427" s="132" t="s">
        <v>4370</v>
      </c>
      <c r="R1427" s="132" t="s">
        <v>1108</v>
      </c>
    </row>
    <row r="1428" spans="1:18" x14ac:dyDescent="0.2">
      <c r="A1428" t="s">
        <v>234</v>
      </c>
      <c r="B1428" s="141">
        <f t="shared" si="23"/>
        <v>23.240000000000002</v>
      </c>
      <c r="C1428" s="280">
        <v>45793</v>
      </c>
      <c r="D1428" s="279">
        <v>45797</v>
      </c>
      <c r="E1428" s="279">
        <v>45797</v>
      </c>
      <c r="F1428" s="132"/>
      <c r="G1428" s="132" t="s">
        <v>1665</v>
      </c>
      <c r="H1428" s="132" t="s">
        <v>373</v>
      </c>
      <c r="I1428" s="132" t="s">
        <v>1100</v>
      </c>
      <c r="J1428" s="132" t="s">
        <v>3827</v>
      </c>
      <c r="K1428" s="132" t="s">
        <v>3834</v>
      </c>
      <c r="L1428" s="132" t="s">
        <v>3835</v>
      </c>
      <c r="M1428" s="132" t="s">
        <v>4397</v>
      </c>
      <c r="N1428" s="132" t="s">
        <v>1105</v>
      </c>
      <c r="O1428" s="132" t="s">
        <v>3391</v>
      </c>
      <c r="P1428" s="132" t="s">
        <v>4398</v>
      </c>
      <c r="Q1428" s="132" t="s">
        <v>4370</v>
      </c>
      <c r="R1428" s="132" t="s">
        <v>1108</v>
      </c>
    </row>
    <row r="1429" spans="1:18" x14ac:dyDescent="0.2">
      <c r="A1429" t="s">
        <v>234</v>
      </c>
      <c r="B1429" s="141">
        <f t="shared" si="23"/>
        <v>23.1</v>
      </c>
      <c r="C1429" s="280">
        <v>45793</v>
      </c>
      <c r="D1429" s="279">
        <v>45797</v>
      </c>
      <c r="E1429" s="279">
        <v>45797</v>
      </c>
      <c r="F1429" s="132"/>
      <c r="G1429" s="132" t="s">
        <v>1108</v>
      </c>
      <c r="H1429" s="132" t="s">
        <v>373</v>
      </c>
      <c r="I1429" s="132" t="s">
        <v>1100</v>
      </c>
      <c r="J1429" s="132" t="s">
        <v>3827</v>
      </c>
      <c r="K1429" s="132" t="s">
        <v>3828</v>
      </c>
      <c r="L1429" s="132" t="s">
        <v>3829</v>
      </c>
      <c r="M1429" s="132" t="s">
        <v>4399</v>
      </c>
      <c r="N1429" s="132" t="s">
        <v>1112</v>
      </c>
      <c r="O1429" s="132" t="s">
        <v>3391</v>
      </c>
      <c r="P1429" s="132" t="s">
        <v>4400</v>
      </c>
      <c r="Q1429" s="132" t="s">
        <v>4370</v>
      </c>
      <c r="R1429" s="132" t="s">
        <v>1108</v>
      </c>
    </row>
    <row r="1430" spans="1:18" x14ac:dyDescent="0.2">
      <c r="A1430" t="s">
        <v>235</v>
      </c>
      <c r="B1430" s="141">
        <f t="shared" si="23"/>
        <v>27.17</v>
      </c>
      <c r="C1430" s="280">
        <v>45793</v>
      </c>
      <c r="D1430" s="279">
        <v>45797</v>
      </c>
      <c r="E1430" s="279">
        <v>45797</v>
      </c>
      <c r="F1430" s="132"/>
      <c r="G1430" s="132" t="s">
        <v>4401</v>
      </c>
      <c r="H1430" s="132" t="s">
        <v>373</v>
      </c>
      <c r="I1430" s="132" t="s">
        <v>1100</v>
      </c>
      <c r="J1430" s="132" t="s">
        <v>3849</v>
      </c>
      <c r="K1430" s="132" t="s">
        <v>3850</v>
      </c>
      <c r="L1430" s="132" t="s">
        <v>3851</v>
      </c>
      <c r="M1430" s="132" t="s">
        <v>4402</v>
      </c>
      <c r="N1430" s="132" t="s">
        <v>1105</v>
      </c>
      <c r="O1430" s="132" t="s">
        <v>3391</v>
      </c>
      <c r="P1430" s="132" t="s">
        <v>4403</v>
      </c>
      <c r="Q1430" s="132" t="s">
        <v>4370</v>
      </c>
      <c r="R1430" s="132" t="s">
        <v>1108</v>
      </c>
    </row>
    <row r="1431" spans="1:18" x14ac:dyDescent="0.2">
      <c r="A1431" t="s">
        <v>234</v>
      </c>
      <c r="B1431" s="141">
        <f t="shared" si="23"/>
        <v>23.1</v>
      </c>
      <c r="C1431" s="280">
        <v>45793</v>
      </c>
      <c r="D1431" s="279">
        <v>45797</v>
      </c>
      <c r="E1431" s="279">
        <v>45797</v>
      </c>
      <c r="F1431" s="132"/>
      <c r="G1431" s="132" t="s">
        <v>1108</v>
      </c>
      <c r="H1431" s="132" t="s">
        <v>373</v>
      </c>
      <c r="I1431" s="132" t="s">
        <v>1100</v>
      </c>
      <c r="J1431" s="132" t="s">
        <v>3827</v>
      </c>
      <c r="K1431" s="132" t="s">
        <v>3828</v>
      </c>
      <c r="L1431" s="132" t="s">
        <v>3829</v>
      </c>
      <c r="M1431" s="132" t="s">
        <v>4404</v>
      </c>
      <c r="N1431" s="132" t="s">
        <v>1112</v>
      </c>
      <c r="O1431" s="132" t="s">
        <v>3391</v>
      </c>
      <c r="P1431" s="132" t="s">
        <v>4405</v>
      </c>
      <c r="Q1431" s="132" t="s">
        <v>4370</v>
      </c>
      <c r="R1431" s="132" t="s">
        <v>1108</v>
      </c>
    </row>
    <row r="1432" spans="1:18" x14ac:dyDescent="0.2">
      <c r="A1432" t="s">
        <v>235</v>
      </c>
      <c r="B1432" s="141">
        <f t="shared" si="23"/>
        <v>27.17</v>
      </c>
      <c r="C1432" s="280">
        <v>45793</v>
      </c>
      <c r="D1432" s="279">
        <v>45797</v>
      </c>
      <c r="E1432" s="279">
        <v>45797</v>
      </c>
      <c r="F1432" s="132"/>
      <c r="G1432" s="132" t="s">
        <v>4028</v>
      </c>
      <c r="H1432" s="132" t="s">
        <v>373</v>
      </c>
      <c r="I1432" s="132" t="s">
        <v>1100</v>
      </c>
      <c r="J1432" s="132" t="s">
        <v>3849</v>
      </c>
      <c r="K1432" s="132" t="s">
        <v>3850</v>
      </c>
      <c r="L1432" s="132" t="s">
        <v>3851</v>
      </c>
      <c r="M1432" s="132" t="s">
        <v>4406</v>
      </c>
      <c r="N1432" s="132" t="s">
        <v>1105</v>
      </c>
      <c r="O1432" s="132" t="s">
        <v>3391</v>
      </c>
      <c r="P1432" s="132" t="s">
        <v>4407</v>
      </c>
      <c r="Q1432" s="132" t="s">
        <v>4370</v>
      </c>
      <c r="R1432" s="132" t="s">
        <v>1108</v>
      </c>
    </row>
    <row r="1433" spans="1:18" x14ac:dyDescent="0.2">
      <c r="A1433" t="s">
        <v>234</v>
      </c>
      <c r="B1433" s="141">
        <f t="shared" si="23"/>
        <v>23.1</v>
      </c>
      <c r="C1433" s="280">
        <v>45793</v>
      </c>
      <c r="D1433" s="279">
        <v>45797</v>
      </c>
      <c r="E1433" s="279">
        <v>45797</v>
      </c>
      <c r="F1433" s="132"/>
      <c r="G1433" s="132" t="s">
        <v>1108</v>
      </c>
      <c r="H1433" s="132" t="s">
        <v>373</v>
      </c>
      <c r="I1433" s="132" t="s">
        <v>1100</v>
      </c>
      <c r="J1433" s="132" t="s">
        <v>3827</v>
      </c>
      <c r="K1433" s="132" t="s">
        <v>3828</v>
      </c>
      <c r="L1433" s="132" t="s">
        <v>3829</v>
      </c>
      <c r="M1433" s="132" t="s">
        <v>4408</v>
      </c>
      <c r="N1433" s="132" t="s">
        <v>1112</v>
      </c>
      <c r="O1433" s="132" t="s">
        <v>3391</v>
      </c>
      <c r="P1433" s="132" t="s">
        <v>4409</v>
      </c>
      <c r="Q1433" s="132" t="s">
        <v>4370</v>
      </c>
      <c r="R1433" s="132" t="s">
        <v>1108</v>
      </c>
    </row>
    <row r="1434" spans="1:18" x14ac:dyDescent="0.2">
      <c r="A1434" t="s">
        <v>239</v>
      </c>
      <c r="B1434" s="141">
        <f t="shared" si="23"/>
        <v>20.170000000000002</v>
      </c>
      <c r="C1434" s="280">
        <v>45818</v>
      </c>
      <c r="D1434" s="279">
        <v>45820</v>
      </c>
      <c r="E1434" s="279">
        <v>45820</v>
      </c>
      <c r="F1434" s="132"/>
      <c r="G1434" s="132" t="s">
        <v>1108</v>
      </c>
      <c r="H1434" s="132" t="s">
        <v>373</v>
      </c>
      <c r="I1434" s="132" t="s">
        <v>1100</v>
      </c>
      <c r="J1434" s="132" t="s">
        <v>4410</v>
      </c>
      <c r="K1434" s="132" t="s">
        <v>3834</v>
      </c>
      <c r="L1434" s="132" t="s">
        <v>4411</v>
      </c>
      <c r="M1434" s="132" t="s">
        <v>4412</v>
      </c>
      <c r="N1434" s="132" t="s">
        <v>1112</v>
      </c>
      <c r="O1434" s="132" t="s">
        <v>3391</v>
      </c>
      <c r="P1434" s="132" t="s">
        <v>4413</v>
      </c>
      <c r="Q1434" s="132" t="s">
        <v>4414</v>
      </c>
      <c r="R1434" s="132" t="s">
        <v>1108</v>
      </c>
    </row>
    <row r="1435" spans="1:18" x14ac:dyDescent="0.2">
      <c r="A1435" t="s">
        <v>239</v>
      </c>
      <c r="B1435" s="141">
        <f t="shared" si="23"/>
        <v>20.170000000000002</v>
      </c>
      <c r="C1435" s="280">
        <v>45818</v>
      </c>
      <c r="D1435" s="279">
        <v>45820</v>
      </c>
      <c r="E1435" s="279">
        <v>45820</v>
      </c>
      <c r="F1435" s="132"/>
      <c r="G1435" s="132" t="s">
        <v>1108</v>
      </c>
      <c r="H1435" s="132" t="s">
        <v>373</v>
      </c>
      <c r="I1435" s="132" t="s">
        <v>1100</v>
      </c>
      <c r="J1435" s="132" t="s">
        <v>4410</v>
      </c>
      <c r="K1435" s="132" t="s">
        <v>3834</v>
      </c>
      <c r="L1435" s="132" t="s">
        <v>4411</v>
      </c>
      <c r="M1435" s="132" t="s">
        <v>4415</v>
      </c>
      <c r="N1435" s="132" t="s">
        <v>1112</v>
      </c>
      <c r="O1435" s="132" t="s">
        <v>3391</v>
      </c>
      <c r="P1435" s="132" t="s">
        <v>4416</v>
      </c>
      <c r="Q1435" s="132" t="s">
        <v>4414</v>
      </c>
      <c r="R1435" s="132" t="s">
        <v>1108</v>
      </c>
    </row>
    <row r="1436" spans="1:18" x14ac:dyDescent="0.2">
      <c r="A1436" t="s">
        <v>239</v>
      </c>
      <c r="B1436" s="141">
        <f t="shared" si="23"/>
        <v>20.170000000000002</v>
      </c>
      <c r="C1436" s="280">
        <v>45818</v>
      </c>
      <c r="D1436" s="279">
        <v>45820</v>
      </c>
      <c r="E1436" s="279">
        <v>45820</v>
      </c>
      <c r="F1436" s="132"/>
      <c r="G1436" s="132" t="s">
        <v>1108</v>
      </c>
      <c r="H1436" s="132" t="s">
        <v>373</v>
      </c>
      <c r="I1436" s="132" t="s">
        <v>1100</v>
      </c>
      <c r="J1436" s="132" t="s">
        <v>4410</v>
      </c>
      <c r="K1436" s="132" t="s">
        <v>3834</v>
      </c>
      <c r="L1436" s="132" t="s">
        <v>4411</v>
      </c>
      <c r="M1436" s="132" t="s">
        <v>4417</v>
      </c>
      <c r="N1436" s="132" t="s">
        <v>1112</v>
      </c>
      <c r="O1436" s="132" t="s">
        <v>3391</v>
      </c>
      <c r="P1436" s="132" t="s">
        <v>4418</v>
      </c>
      <c r="Q1436" s="132" t="s">
        <v>4414</v>
      </c>
      <c r="R1436" s="132" t="s">
        <v>1108</v>
      </c>
    </row>
    <row r="1437" spans="1:18" x14ac:dyDescent="0.2">
      <c r="A1437" t="s">
        <v>239</v>
      </c>
      <c r="B1437" s="141">
        <f t="shared" si="23"/>
        <v>20.170000000000002</v>
      </c>
      <c r="C1437" s="280">
        <v>45818</v>
      </c>
      <c r="D1437" s="279">
        <v>45820</v>
      </c>
      <c r="E1437" s="279">
        <v>45820</v>
      </c>
      <c r="F1437" s="132"/>
      <c r="G1437" s="132" t="s">
        <v>1108</v>
      </c>
      <c r="H1437" s="132" t="s">
        <v>373</v>
      </c>
      <c r="I1437" s="132" t="s">
        <v>1100</v>
      </c>
      <c r="J1437" s="132" t="s">
        <v>4410</v>
      </c>
      <c r="K1437" s="132" t="s">
        <v>3834</v>
      </c>
      <c r="L1437" s="132" t="s">
        <v>4411</v>
      </c>
      <c r="M1437" s="132" t="s">
        <v>4419</v>
      </c>
      <c r="N1437" s="132" t="s">
        <v>1112</v>
      </c>
      <c r="O1437" s="132" t="s">
        <v>3391</v>
      </c>
      <c r="P1437" s="132" t="s">
        <v>4420</v>
      </c>
      <c r="Q1437" s="132" t="s">
        <v>4414</v>
      </c>
      <c r="R1437" s="132" t="s">
        <v>1108</v>
      </c>
    </row>
    <row r="1438" spans="1:18" x14ac:dyDescent="0.2">
      <c r="A1438" t="s">
        <v>239</v>
      </c>
      <c r="B1438" s="141">
        <f t="shared" si="23"/>
        <v>20.3</v>
      </c>
      <c r="C1438" s="280">
        <v>45818</v>
      </c>
      <c r="D1438" s="279">
        <v>45820</v>
      </c>
      <c r="E1438" s="279">
        <v>45820</v>
      </c>
      <c r="F1438" s="132"/>
      <c r="G1438" s="132" t="s">
        <v>1691</v>
      </c>
      <c r="H1438" s="132" t="s">
        <v>373</v>
      </c>
      <c r="I1438" s="132" t="s">
        <v>1100</v>
      </c>
      <c r="J1438" s="132" t="s">
        <v>4410</v>
      </c>
      <c r="K1438" s="132" t="s">
        <v>4421</v>
      </c>
      <c r="L1438" s="132" t="s">
        <v>4422</v>
      </c>
      <c r="M1438" s="132" t="s">
        <v>4423</v>
      </c>
      <c r="N1438" s="132" t="s">
        <v>1105</v>
      </c>
      <c r="O1438" s="132" t="s">
        <v>3391</v>
      </c>
      <c r="P1438" s="132" t="s">
        <v>4424</v>
      </c>
      <c r="Q1438" s="132" t="s">
        <v>4414</v>
      </c>
      <c r="R1438" s="132" t="s">
        <v>1108</v>
      </c>
    </row>
    <row r="1439" spans="1:18" x14ac:dyDescent="0.2">
      <c r="A1439" t="s">
        <v>239</v>
      </c>
      <c r="B1439" s="141">
        <f t="shared" si="23"/>
        <v>20.3</v>
      </c>
      <c r="C1439" s="280">
        <v>45818</v>
      </c>
      <c r="D1439" s="279">
        <v>45820</v>
      </c>
      <c r="E1439" s="279">
        <v>45820</v>
      </c>
      <c r="F1439" s="132"/>
      <c r="G1439" s="132" t="s">
        <v>1378</v>
      </c>
      <c r="H1439" s="132" t="s">
        <v>373</v>
      </c>
      <c r="I1439" s="132" t="s">
        <v>1100</v>
      </c>
      <c r="J1439" s="132" t="s">
        <v>4410</v>
      </c>
      <c r="K1439" s="132" t="s">
        <v>4421</v>
      </c>
      <c r="L1439" s="132" t="s">
        <v>4422</v>
      </c>
      <c r="M1439" s="132" t="s">
        <v>4425</v>
      </c>
      <c r="N1439" s="132" t="s">
        <v>1105</v>
      </c>
      <c r="O1439" s="132" t="s">
        <v>3391</v>
      </c>
      <c r="P1439" s="132" t="s">
        <v>4426</v>
      </c>
      <c r="Q1439" s="132" t="s">
        <v>4414</v>
      </c>
      <c r="R1439" s="132" t="s">
        <v>1108</v>
      </c>
    </row>
    <row r="1440" spans="1:18" x14ac:dyDescent="0.2">
      <c r="A1440" t="s">
        <v>239</v>
      </c>
      <c r="B1440" s="141">
        <f t="shared" si="23"/>
        <v>20.3</v>
      </c>
      <c r="C1440" s="280">
        <v>45818</v>
      </c>
      <c r="D1440" s="279">
        <v>45820</v>
      </c>
      <c r="E1440" s="279">
        <v>45820</v>
      </c>
      <c r="F1440" s="132"/>
      <c r="G1440" s="132" t="s">
        <v>1166</v>
      </c>
      <c r="H1440" s="132" t="s">
        <v>373</v>
      </c>
      <c r="I1440" s="132" t="s">
        <v>1100</v>
      </c>
      <c r="J1440" s="132" t="s">
        <v>4410</v>
      </c>
      <c r="K1440" s="132" t="s">
        <v>4421</v>
      </c>
      <c r="L1440" s="132" t="s">
        <v>4422</v>
      </c>
      <c r="M1440" s="132" t="s">
        <v>4427</v>
      </c>
      <c r="N1440" s="132" t="s">
        <v>1105</v>
      </c>
      <c r="O1440" s="132" t="s">
        <v>3391</v>
      </c>
      <c r="P1440" s="132" t="s">
        <v>4428</v>
      </c>
      <c r="Q1440" s="132" t="s">
        <v>4414</v>
      </c>
      <c r="R1440" s="132" t="s">
        <v>1108</v>
      </c>
    </row>
    <row r="1441" spans="1:18" x14ac:dyDescent="0.2">
      <c r="A1441" t="s">
        <v>239</v>
      </c>
      <c r="B1441" s="141">
        <f t="shared" si="23"/>
        <v>20.3</v>
      </c>
      <c r="C1441" s="280">
        <v>45818</v>
      </c>
      <c r="D1441" s="279">
        <v>45820</v>
      </c>
      <c r="E1441" s="279">
        <v>45820</v>
      </c>
      <c r="F1441" s="132"/>
      <c r="G1441" s="132" t="s">
        <v>4429</v>
      </c>
      <c r="H1441" s="132" t="s">
        <v>373</v>
      </c>
      <c r="I1441" s="132" t="s">
        <v>1100</v>
      </c>
      <c r="J1441" s="132" t="s">
        <v>4410</v>
      </c>
      <c r="K1441" s="132" t="s">
        <v>4421</v>
      </c>
      <c r="L1441" s="132" t="s">
        <v>4422</v>
      </c>
      <c r="M1441" s="132" t="s">
        <v>4430</v>
      </c>
      <c r="N1441" s="132" t="s">
        <v>1105</v>
      </c>
      <c r="O1441" s="132" t="s">
        <v>3391</v>
      </c>
      <c r="P1441" s="132" t="s">
        <v>4431</v>
      </c>
      <c r="Q1441" s="132" t="s">
        <v>4414</v>
      </c>
      <c r="R1441" s="132" t="s">
        <v>1108</v>
      </c>
    </row>
    <row r="1442" spans="1:18" x14ac:dyDescent="0.2">
      <c r="A1442" t="s">
        <v>239</v>
      </c>
      <c r="B1442" s="141">
        <f t="shared" si="23"/>
        <v>20.3</v>
      </c>
      <c r="C1442" s="280">
        <v>45818</v>
      </c>
      <c r="D1442" s="279">
        <v>45820</v>
      </c>
      <c r="E1442" s="279">
        <v>45820</v>
      </c>
      <c r="F1442" s="132"/>
      <c r="G1442" s="132" t="s">
        <v>1108</v>
      </c>
      <c r="H1442" s="132" t="s">
        <v>373</v>
      </c>
      <c r="I1442" s="132" t="s">
        <v>1100</v>
      </c>
      <c r="J1442" s="132" t="s">
        <v>4410</v>
      </c>
      <c r="K1442" s="132" t="s">
        <v>4421</v>
      </c>
      <c r="L1442" s="132" t="s">
        <v>4422</v>
      </c>
      <c r="M1442" s="132" t="s">
        <v>4432</v>
      </c>
      <c r="N1442" s="132" t="s">
        <v>1117</v>
      </c>
      <c r="O1442" s="132" t="s">
        <v>3391</v>
      </c>
      <c r="P1442" s="132" t="s">
        <v>4433</v>
      </c>
      <c r="Q1442" s="132" t="s">
        <v>4414</v>
      </c>
      <c r="R1442" s="132" t="s">
        <v>1108</v>
      </c>
    </row>
    <row r="1443" spans="1:18" x14ac:dyDescent="0.2">
      <c r="A1443" t="s">
        <v>239</v>
      </c>
      <c r="B1443" s="141">
        <f t="shared" si="23"/>
        <v>20.170000000000002</v>
      </c>
      <c r="C1443" s="280">
        <v>45818</v>
      </c>
      <c r="D1443" s="279">
        <v>45820</v>
      </c>
      <c r="E1443" s="279">
        <v>45820</v>
      </c>
      <c r="F1443" s="132"/>
      <c r="G1443" s="132" t="s">
        <v>1108</v>
      </c>
      <c r="H1443" s="132" t="s">
        <v>373</v>
      </c>
      <c r="I1443" s="132" t="s">
        <v>1100</v>
      </c>
      <c r="J1443" s="132" t="s">
        <v>4410</v>
      </c>
      <c r="K1443" s="132" t="s">
        <v>3834</v>
      </c>
      <c r="L1443" s="132" t="s">
        <v>4411</v>
      </c>
      <c r="M1443" s="132" t="s">
        <v>4434</v>
      </c>
      <c r="N1443" s="132" t="s">
        <v>1112</v>
      </c>
      <c r="O1443" s="132" t="s">
        <v>3391</v>
      </c>
      <c r="P1443" s="132" t="s">
        <v>4435</v>
      </c>
      <c r="Q1443" s="132" t="s">
        <v>4414</v>
      </c>
      <c r="R1443" s="132" t="s">
        <v>1108</v>
      </c>
    </row>
    <row r="1444" spans="1:18" x14ac:dyDescent="0.2">
      <c r="A1444" t="s">
        <v>239</v>
      </c>
      <c r="B1444" s="141">
        <f t="shared" si="23"/>
        <v>20.3</v>
      </c>
      <c r="C1444" s="280">
        <v>45818</v>
      </c>
      <c r="D1444" s="279">
        <v>45820</v>
      </c>
      <c r="E1444" s="279">
        <v>45820</v>
      </c>
      <c r="F1444" s="132"/>
      <c r="G1444" s="132" t="s">
        <v>1108</v>
      </c>
      <c r="H1444" s="132" t="s">
        <v>373</v>
      </c>
      <c r="I1444" s="132" t="s">
        <v>1100</v>
      </c>
      <c r="J1444" s="132" t="s">
        <v>4410</v>
      </c>
      <c r="K1444" s="132" t="s">
        <v>4421</v>
      </c>
      <c r="L1444" s="132" t="s">
        <v>4422</v>
      </c>
      <c r="M1444" s="132" t="s">
        <v>4436</v>
      </c>
      <c r="N1444" s="132" t="s">
        <v>1117</v>
      </c>
      <c r="O1444" s="132" t="s">
        <v>3391</v>
      </c>
      <c r="P1444" s="132" t="s">
        <v>4437</v>
      </c>
      <c r="Q1444" s="132" t="s">
        <v>4414</v>
      </c>
      <c r="R1444" s="132" t="s">
        <v>1108</v>
      </c>
    </row>
    <row r="1445" spans="1:18" x14ac:dyDescent="0.2">
      <c r="A1445" t="s">
        <v>239</v>
      </c>
      <c r="B1445" s="141">
        <f t="shared" si="23"/>
        <v>20.170000000000002</v>
      </c>
      <c r="C1445" s="280">
        <v>45818</v>
      </c>
      <c r="D1445" s="279">
        <v>45820</v>
      </c>
      <c r="E1445" s="279">
        <v>45820</v>
      </c>
      <c r="F1445" s="132"/>
      <c r="G1445" s="132" t="s">
        <v>1108</v>
      </c>
      <c r="H1445" s="132" t="s">
        <v>373</v>
      </c>
      <c r="I1445" s="132" t="s">
        <v>1100</v>
      </c>
      <c r="J1445" s="132" t="s">
        <v>4410</v>
      </c>
      <c r="K1445" s="132" t="s">
        <v>3834</v>
      </c>
      <c r="L1445" s="132" t="s">
        <v>4411</v>
      </c>
      <c r="M1445" s="132" t="s">
        <v>4438</v>
      </c>
      <c r="N1445" s="132" t="s">
        <v>1112</v>
      </c>
      <c r="O1445" s="132" t="s">
        <v>3391</v>
      </c>
      <c r="P1445" s="132" t="s">
        <v>4439</v>
      </c>
      <c r="Q1445" s="132" t="s">
        <v>4414</v>
      </c>
      <c r="R1445" s="132" t="s">
        <v>1108</v>
      </c>
    </row>
    <row r="1446" spans="1:18" x14ac:dyDescent="0.2">
      <c r="A1446" t="s">
        <v>239</v>
      </c>
      <c r="B1446" s="141">
        <f t="shared" si="23"/>
        <v>20.3</v>
      </c>
      <c r="C1446" s="280">
        <v>45818</v>
      </c>
      <c r="D1446" s="279">
        <v>45820</v>
      </c>
      <c r="E1446" s="279">
        <v>45820</v>
      </c>
      <c r="F1446" s="132"/>
      <c r="G1446" s="132" t="s">
        <v>1108</v>
      </c>
      <c r="H1446" s="132" t="s">
        <v>373</v>
      </c>
      <c r="I1446" s="132" t="s">
        <v>1100</v>
      </c>
      <c r="J1446" s="132" t="s">
        <v>4410</v>
      </c>
      <c r="K1446" s="132" t="s">
        <v>4421</v>
      </c>
      <c r="L1446" s="132" t="s">
        <v>4422</v>
      </c>
      <c r="M1446" s="132" t="s">
        <v>4440</v>
      </c>
      <c r="N1446" s="132" t="s">
        <v>1117</v>
      </c>
      <c r="O1446" s="132" t="s">
        <v>3391</v>
      </c>
      <c r="P1446" s="132" t="s">
        <v>4441</v>
      </c>
      <c r="Q1446" s="132" t="s">
        <v>4414</v>
      </c>
      <c r="R1446" s="132" t="s">
        <v>1108</v>
      </c>
    </row>
    <row r="1447" spans="1:18" x14ac:dyDescent="0.2">
      <c r="A1447" t="s">
        <v>239</v>
      </c>
      <c r="B1447" s="141">
        <f t="shared" si="23"/>
        <v>20.170000000000002</v>
      </c>
      <c r="C1447" s="280">
        <v>45818</v>
      </c>
      <c r="D1447" s="279">
        <v>45820</v>
      </c>
      <c r="E1447" s="279">
        <v>45820</v>
      </c>
      <c r="F1447" s="132"/>
      <c r="G1447" s="132" t="s">
        <v>1108</v>
      </c>
      <c r="H1447" s="132" t="s">
        <v>373</v>
      </c>
      <c r="I1447" s="132" t="s">
        <v>1100</v>
      </c>
      <c r="J1447" s="132" t="s">
        <v>4410</v>
      </c>
      <c r="K1447" s="132" t="s">
        <v>3834</v>
      </c>
      <c r="L1447" s="132" t="s">
        <v>4411</v>
      </c>
      <c r="M1447" s="132" t="s">
        <v>4442</v>
      </c>
      <c r="N1447" s="132" t="s">
        <v>1112</v>
      </c>
      <c r="O1447" s="132" t="s">
        <v>3391</v>
      </c>
      <c r="P1447" s="132" t="s">
        <v>4443</v>
      </c>
      <c r="Q1447" s="132" t="s">
        <v>4414</v>
      </c>
      <c r="R1447" s="132" t="s">
        <v>1108</v>
      </c>
    </row>
    <row r="1448" spans="1:18" x14ac:dyDescent="0.2">
      <c r="A1448" t="s">
        <v>239</v>
      </c>
      <c r="B1448" s="141">
        <f t="shared" si="23"/>
        <v>20.170000000000002</v>
      </c>
      <c r="C1448" s="280">
        <v>45818</v>
      </c>
      <c r="D1448" s="279">
        <v>45820</v>
      </c>
      <c r="E1448" s="279">
        <v>45820</v>
      </c>
      <c r="F1448" s="132"/>
      <c r="G1448" s="132" t="s">
        <v>1108</v>
      </c>
      <c r="H1448" s="132" t="s">
        <v>373</v>
      </c>
      <c r="I1448" s="132" t="s">
        <v>1100</v>
      </c>
      <c r="J1448" s="132" t="s">
        <v>4410</v>
      </c>
      <c r="K1448" s="132" t="s">
        <v>3834</v>
      </c>
      <c r="L1448" s="132" t="s">
        <v>4411</v>
      </c>
      <c r="M1448" s="132" t="s">
        <v>4444</v>
      </c>
      <c r="N1448" s="132" t="s">
        <v>1112</v>
      </c>
      <c r="O1448" s="132" t="s">
        <v>3391</v>
      </c>
      <c r="P1448" s="132" t="s">
        <v>4445</v>
      </c>
      <c r="Q1448" s="132" t="s">
        <v>4414</v>
      </c>
      <c r="R1448" s="132" t="s">
        <v>1108</v>
      </c>
    </row>
    <row r="1449" spans="1:18" x14ac:dyDescent="0.2">
      <c r="A1449" t="s">
        <v>239</v>
      </c>
      <c r="B1449" s="141">
        <f t="shared" si="23"/>
        <v>20.3</v>
      </c>
      <c r="C1449" s="280">
        <v>45818</v>
      </c>
      <c r="D1449" s="279">
        <v>45820</v>
      </c>
      <c r="E1449" s="279">
        <v>45820</v>
      </c>
      <c r="F1449" s="132"/>
      <c r="G1449" s="132" t="s">
        <v>1108</v>
      </c>
      <c r="H1449" s="132" t="s">
        <v>373</v>
      </c>
      <c r="I1449" s="132" t="s">
        <v>1100</v>
      </c>
      <c r="J1449" s="132" t="s">
        <v>4410</v>
      </c>
      <c r="K1449" s="132" t="s">
        <v>4421</v>
      </c>
      <c r="L1449" s="132" t="s">
        <v>4422</v>
      </c>
      <c r="M1449" s="132" t="s">
        <v>4446</v>
      </c>
      <c r="N1449" s="132" t="s">
        <v>1117</v>
      </c>
      <c r="O1449" s="132" t="s">
        <v>3391</v>
      </c>
      <c r="P1449" s="132" t="s">
        <v>4447</v>
      </c>
      <c r="Q1449" s="132" t="s">
        <v>4414</v>
      </c>
      <c r="R1449" s="132" t="s">
        <v>1108</v>
      </c>
    </row>
    <row r="1450" spans="1:18" x14ac:dyDescent="0.2">
      <c r="A1450" t="s">
        <v>240</v>
      </c>
      <c r="B1450" s="141">
        <f t="shared" si="23"/>
        <v>22.26</v>
      </c>
      <c r="C1450" s="280">
        <v>45819</v>
      </c>
      <c r="D1450" s="279">
        <v>45821</v>
      </c>
      <c r="E1450" s="279">
        <v>45821</v>
      </c>
      <c r="F1450" s="132"/>
      <c r="G1450" s="132" t="s">
        <v>1430</v>
      </c>
      <c r="H1450" s="132" t="s">
        <v>373</v>
      </c>
      <c r="I1450" s="132" t="s">
        <v>1100</v>
      </c>
      <c r="J1450" s="132" t="s">
        <v>4448</v>
      </c>
      <c r="K1450" s="132" t="s">
        <v>4449</v>
      </c>
      <c r="L1450" s="132" t="s">
        <v>2911</v>
      </c>
      <c r="M1450" s="132" t="s">
        <v>4450</v>
      </c>
      <c r="N1450" s="132" t="s">
        <v>1105</v>
      </c>
      <c r="O1450" s="132" t="s">
        <v>3391</v>
      </c>
      <c r="P1450" s="132" t="s">
        <v>4451</v>
      </c>
      <c r="Q1450" s="132" t="s">
        <v>4452</v>
      </c>
      <c r="R1450" s="132" t="s">
        <v>1108</v>
      </c>
    </row>
    <row r="1451" spans="1:18" x14ac:dyDescent="0.2">
      <c r="A1451" t="s">
        <v>239</v>
      </c>
      <c r="B1451" s="141">
        <f t="shared" si="23"/>
        <v>20.3</v>
      </c>
      <c r="C1451" s="280">
        <v>45819</v>
      </c>
      <c r="D1451" s="279">
        <v>45821</v>
      </c>
      <c r="E1451" s="279">
        <v>45821</v>
      </c>
      <c r="F1451" s="132"/>
      <c r="G1451" s="132" t="s">
        <v>1108</v>
      </c>
      <c r="H1451" s="132" t="s">
        <v>373</v>
      </c>
      <c r="I1451" s="132" t="s">
        <v>1100</v>
      </c>
      <c r="J1451" s="132" t="s">
        <v>4410</v>
      </c>
      <c r="K1451" s="132" t="s">
        <v>4421</v>
      </c>
      <c r="L1451" s="132" t="s">
        <v>4422</v>
      </c>
      <c r="M1451" s="132" t="s">
        <v>4453</v>
      </c>
      <c r="N1451" s="132" t="s">
        <v>1117</v>
      </c>
      <c r="O1451" s="132" t="s">
        <v>3391</v>
      </c>
      <c r="P1451" s="132" t="s">
        <v>4454</v>
      </c>
      <c r="Q1451" s="132" t="s">
        <v>4452</v>
      </c>
      <c r="R1451" s="132" t="s">
        <v>1108</v>
      </c>
    </row>
    <row r="1452" spans="1:18" x14ac:dyDescent="0.2">
      <c r="A1452" t="s">
        <v>239</v>
      </c>
      <c r="B1452" s="141">
        <f t="shared" si="23"/>
        <v>20.170000000000002</v>
      </c>
      <c r="C1452" s="280">
        <v>45819</v>
      </c>
      <c r="D1452" s="279">
        <v>45821</v>
      </c>
      <c r="E1452" s="279">
        <v>45821</v>
      </c>
      <c r="F1452" s="132"/>
      <c r="G1452" s="132" t="s">
        <v>1108</v>
      </c>
      <c r="H1452" s="132" t="s">
        <v>373</v>
      </c>
      <c r="I1452" s="132" t="s">
        <v>1100</v>
      </c>
      <c r="J1452" s="132" t="s">
        <v>4410</v>
      </c>
      <c r="K1452" s="132" t="s">
        <v>3834</v>
      </c>
      <c r="L1452" s="132" t="s">
        <v>4411</v>
      </c>
      <c r="M1452" s="132" t="s">
        <v>4455</v>
      </c>
      <c r="N1452" s="132" t="s">
        <v>1112</v>
      </c>
      <c r="O1452" s="132" t="s">
        <v>3391</v>
      </c>
      <c r="P1452" s="132" t="s">
        <v>4456</v>
      </c>
      <c r="Q1452" s="132" t="s">
        <v>4452</v>
      </c>
      <c r="R1452" s="132" t="s">
        <v>1108</v>
      </c>
    </row>
    <row r="1453" spans="1:18" x14ac:dyDescent="0.2">
      <c r="A1453" t="s">
        <v>239</v>
      </c>
      <c r="B1453" s="141">
        <f t="shared" si="23"/>
        <v>20.170000000000002</v>
      </c>
      <c r="C1453" s="280">
        <v>45819</v>
      </c>
      <c r="D1453" s="279">
        <v>45821</v>
      </c>
      <c r="E1453" s="279">
        <v>45821</v>
      </c>
      <c r="F1453" s="132"/>
      <c r="G1453" s="132" t="s">
        <v>1108</v>
      </c>
      <c r="H1453" s="132" t="s">
        <v>373</v>
      </c>
      <c r="I1453" s="132" t="s">
        <v>1100</v>
      </c>
      <c r="J1453" s="132" t="s">
        <v>4410</v>
      </c>
      <c r="K1453" s="132" t="s">
        <v>3834</v>
      </c>
      <c r="L1453" s="132" t="s">
        <v>4411</v>
      </c>
      <c r="M1453" s="132" t="s">
        <v>4457</v>
      </c>
      <c r="N1453" s="132" t="s">
        <v>1112</v>
      </c>
      <c r="O1453" s="132" t="s">
        <v>3391</v>
      </c>
      <c r="P1453" s="132" t="s">
        <v>4458</v>
      </c>
      <c r="Q1453" s="132" t="s">
        <v>4452</v>
      </c>
      <c r="R1453" s="132" t="s">
        <v>1108</v>
      </c>
    </row>
    <row r="1454" spans="1:18" x14ac:dyDescent="0.2">
      <c r="A1454" t="s">
        <v>239</v>
      </c>
      <c r="B1454" s="141">
        <f t="shared" si="23"/>
        <v>20.3</v>
      </c>
      <c r="C1454" s="280">
        <v>45820</v>
      </c>
      <c r="D1454" s="279">
        <v>45824</v>
      </c>
      <c r="E1454" s="279">
        <v>45824</v>
      </c>
      <c r="F1454" s="132"/>
      <c r="G1454" s="132" t="s">
        <v>1357</v>
      </c>
      <c r="H1454" s="132" t="s">
        <v>373</v>
      </c>
      <c r="I1454" s="132" t="s">
        <v>1100</v>
      </c>
      <c r="J1454" s="132" t="s">
        <v>4410</v>
      </c>
      <c r="K1454" s="132" t="s">
        <v>4421</v>
      </c>
      <c r="L1454" s="132" t="s">
        <v>4422</v>
      </c>
      <c r="M1454" s="132" t="s">
        <v>4459</v>
      </c>
      <c r="N1454" s="132" t="s">
        <v>1105</v>
      </c>
      <c r="O1454" s="132" t="s">
        <v>3391</v>
      </c>
      <c r="P1454" s="132" t="s">
        <v>4460</v>
      </c>
      <c r="Q1454" s="132" t="s">
        <v>4461</v>
      </c>
      <c r="R1454" s="132" t="s">
        <v>1108</v>
      </c>
    </row>
    <row r="1455" spans="1:18" x14ac:dyDescent="0.2">
      <c r="A1455" t="s">
        <v>239</v>
      </c>
      <c r="B1455" s="141">
        <f t="shared" si="23"/>
        <v>20.170000000000002</v>
      </c>
      <c r="C1455" s="280">
        <v>45820</v>
      </c>
      <c r="D1455" s="279">
        <v>45824</v>
      </c>
      <c r="E1455" s="279">
        <v>45824</v>
      </c>
      <c r="F1455" s="132"/>
      <c r="G1455" s="132" t="s">
        <v>1108</v>
      </c>
      <c r="H1455" s="132" t="s">
        <v>373</v>
      </c>
      <c r="I1455" s="132" t="s">
        <v>1100</v>
      </c>
      <c r="J1455" s="132" t="s">
        <v>4410</v>
      </c>
      <c r="K1455" s="132" t="s">
        <v>3834</v>
      </c>
      <c r="L1455" s="132" t="s">
        <v>4411</v>
      </c>
      <c r="M1455" s="132" t="s">
        <v>4462</v>
      </c>
      <c r="N1455" s="132" t="s">
        <v>1112</v>
      </c>
      <c r="O1455" s="132" t="s">
        <v>3391</v>
      </c>
      <c r="P1455" s="132" t="s">
        <v>4463</v>
      </c>
      <c r="Q1455" s="132" t="s">
        <v>4461</v>
      </c>
      <c r="R1455" s="132" t="s">
        <v>1108</v>
      </c>
    </row>
    <row r="1456" spans="1:18" x14ac:dyDescent="0.2">
      <c r="A1456" t="s">
        <v>239</v>
      </c>
      <c r="B1456" s="141">
        <f t="shared" si="23"/>
        <v>20.170000000000002</v>
      </c>
      <c r="C1456" s="280">
        <v>45820</v>
      </c>
      <c r="D1456" s="279">
        <v>45824</v>
      </c>
      <c r="E1456" s="279">
        <v>45824</v>
      </c>
      <c r="F1456" s="132"/>
      <c r="G1456" s="132" t="s">
        <v>1108</v>
      </c>
      <c r="H1456" s="132" t="s">
        <v>373</v>
      </c>
      <c r="I1456" s="132" t="s">
        <v>1100</v>
      </c>
      <c r="J1456" s="132" t="s">
        <v>4410</v>
      </c>
      <c r="K1456" s="132" t="s">
        <v>3834</v>
      </c>
      <c r="L1456" s="132" t="s">
        <v>4411</v>
      </c>
      <c r="M1456" s="132" t="s">
        <v>4464</v>
      </c>
      <c r="N1456" s="132" t="s">
        <v>1112</v>
      </c>
      <c r="O1456" s="132" t="s">
        <v>3391</v>
      </c>
      <c r="P1456" s="132" t="s">
        <v>4465</v>
      </c>
      <c r="Q1456" s="132" t="s">
        <v>4461</v>
      </c>
      <c r="R1456" s="132" t="s">
        <v>1108</v>
      </c>
    </row>
    <row r="1457" spans="1:67" x14ac:dyDescent="0.2">
      <c r="A1457" t="s">
        <v>239</v>
      </c>
      <c r="B1457" s="141">
        <f t="shared" si="23"/>
        <v>20.170000000000002</v>
      </c>
      <c r="C1457" s="280">
        <v>45820</v>
      </c>
      <c r="D1457" s="279">
        <v>45824</v>
      </c>
      <c r="E1457" s="279">
        <v>45824</v>
      </c>
      <c r="F1457" s="132"/>
      <c r="G1457" s="132" t="s">
        <v>1108</v>
      </c>
      <c r="H1457" s="132" t="s">
        <v>373</v>
      </c>
      <c r="I1457" s="132" t="s">
        <v>1100</v>
      </c>
      <c r="J1457" s="132" t="s">
        <v>4410</v>
      </c>
      <c r="K1457" s="132" t="s">
        <v>3834</v>
      </c>
      <c r="L1457" s="132" t="s">
        <v>4411</v>
      </c>
      <c r="M1457" s="132" t="s">
        <v>4466</v>
      </c>
      <c r="N1457" s="132" t="s">
        <v>1112</v>
      </c>
      <c r="O1457" s="132" t="s">
        <v>3391</v>
      </c>
      <c r="P1457" s="132" t="s">
        <v>4467</v>
      </c>
      <c r="Q1457" s="132" t="s">
        <v>4461</v>
      </c>
      <c r="R1457" s="132" t="s">
        <v>1108</v>
      </c>
    </row>
    <row r="1458" spans="1:67" x14ac:dyDescent="0.2">
      <c r="A1458" t="s">
        <v>198</v>
      </c>
      <c r="B1458" s="141">
        <f t="shared" si="23"/>
        <v>3.62</v>
      </c>
      <c r="C1458" s="280">
        <v>45821</v>
      </c>
      <c r="D1458" s="279">
        <v>45825</v>
      </c>
      <c r="E1458" s="279">
        <v>45825</v>
      </c>
      <c r="F1458" s="132"/>
      <c r="G1458" s="132" t="s">
        <v>1108</v>
      </c>
      <c r="H1458" s="132" t="s">
        <v>373</v>
      </c>
      <c r="I1458" s="132" t="s">
        <v>1100</v>
      </c>
      <c r="J1458" s="132" t="s">
        <v>1853</v>
      </c>
      <c r="K1458" s="132" t="s">
        <v>1731</v>
      </c>
      <c r="L1458" s="132" t="s">
        <v>1854</v>
      </c>
      <c r="M1458" s="132" t="s">
        <v>4468</v>
      </c>
      <c r="N1458" s="132" t="s">
        <v>1117</v>
      </c>
      <c r="O1458" s="132" t="s">
        <v>3391</v>
      </c>
      <c r="P1458" s="132" t="s">
        <v>4469</v>
      </c>
      <c r="Q1458" s="132" t="s">
        <v>4470</v>
      </c>
      <c r="R1458" s="132" t="s">
        <v>1108</v>
      </c>
    </row>
    <row r="1459" spans="1:67" x14ac:dyDescent="0.2">
      <c r="A1459" t="s">
        <v>239</v>
      </c>
      <c r="B1459" s="141">
        <f t="shared" si="23"/>
        <v>20.170000000000002</v>
      </c>
      <c r="C1459" s="280">
        <v>45821</v>
      </c>
      <c r="D1459" s="279">
        <v>45825</v>
      </c>
      <c r="E1459" s="279">
        <v>45825</v>
      </c>
      <c r="F1459" s="132"/>
      <c r="G1459" s="132" t="s">
        <v>1108</v>
      </c>
      <c r="H1459" s="132" t="s">
        <v>373</v>
      </c>
      <c r="I1459" s="132" t="s">
        <v>1100</v>
      </c>
      <c r="J1459" s="132" t="s">
        <v>4410</v>
      </c>
      <c r="K1459" s="132" t="s">
        <v>3834</v>
      </c>
      <c r="L1459" s="132" t="s">
        <v>4411</v>
      </c>
      <c r="M1459" s="132" t="s">
        <v>4471</v>
      </c>
      <c r="N1459" s="132" t="s">
        <v>1112</v>
      </c>
      <c r="O1459" s="132" t="s">
        <v>3391</v>
      </c>
      <c r="P1459" s="132" t="s">
        <v>4472</v>
      </c>
      <c r="Q1459" s="132" t="s">
        <v>4470</v>
      </c>
      <c r="R1459" s="132" t="s">
        <v>1108</v>
      </c>
    </row>
    <row r="1460" spans="1:67" x14ac:dyDescent="0.2">
      <c r="A1460" t="s">
        <v>239</v>
      </c>
      <c r="B1460" s="141">
        <f t="shared" si="23"/>
        <v>20.3</v>
      </c>
      <c r="C1460" s="280">
        <v>45821</v>
      </c>
      <c r="D1460" s="279">
        <v>45825</v>
      </c>
      <c r="E1460" s="279">
        <v>45825</v>
      </c>
      <c r="F1460" s="132"/>
      <c r="G1460" s="132" t="s">
        <v>1108</v>
      </c>
      <c r="H1460" s="132" t="s">
        <v>373</v>
      </c>
      <c r="I1460" s="132" t="s">
        <v>1100</v>
      </c>
      <c r="J1460" s="132" t="s">
        <v>4410</v>
      </c>
      <c r="K1460" s="132" t="s">
        <v>4421</v>
      </c>
      <c r="L1460" s="132" t="s">
        <v>4422</v>
      </c>
      <c r="M1460" s="132" t="s">
        <v>4473</v>
      </c>
      <c r="N1460" s="132" t="s">
        <v>1117</v>
      </c>
      <c r="O1460" s="132" t="s">
        <v>3391</v>
      </c>
      <c r="P1460" s="132" t="s">
        <v>4474</v>
      </c>
      <c r="Q1460" s="132" t="s">
        <v>4470</v>
      </c>
      <c r="R1460" s="132" t="s">
        <v>1108</v>
      </c>
    </row>
    <row r="1461" spans="1:67" x14ac:dyDescent="0.2">
      <c r="A1461" t="s">
        <v>198</v>
      </c>
      <c r="B1461" s="141">
        <f t="shared" si="23"/>
        <v>3.62</v>
      </c>
      <c r="C1461" s="280">
        <v>45821</v>
      </c>
      <c r="D1461" s="279">
        <v>45825</v>
      </c>
      <c r="E1461" s="279">
        <v>45825</v>
      </c>
      <c r="F1461" s="132"/>
      <c r="G1461" s="132" t="s">
        <v>1108</v>
      </c>
      <c r="H1461" s="132" t="s">
        <v>373</v>
      </c>
      <c r="I1461" s="132" t="s">
        <v>1100</v>
      </c>
      <c r="J1461" s="132" t="s">
        <v>1853</v>
      </c>
      <c r="K1461" s="132" t="s">
        <v>1731</v>
      </c>
      <c r="L1461" s="132" t="s">
        <v>1854</v>
      </c>
      <c r="M1461" s="132" t="s">
        <v>4475</v>
      </c>
      <c r="N1461" s="132" t="s">
        <v>1117</v>
      </c>
      <c r="O1461" s="132" t="s">
        <v>3391</v>
      </c>
      <c r="P1461" s="281" t="s">
        <v>4476</v>
      </c>
      <c r="Q1461" s="132" t="s">
        <v>4470</v>
      </c>
      <c r="R1461" s="132" t="s">
        <v>1108</v>
      </c>
      <c r="BB1461" s="42"/>
    </row>
    <row r="1462" spans="1:67" x14ac:dyDescent="0.2">
      <c r="A1462" t="s">
        <v>198</v>
      </c>
      <c r="B1462" s="141">
        <f t="shared" si="23"/>
        <v>3.62</v>
      </c>
      <c r="C1462" s="280">
        <v>45821</v>
      </c>
      <c r="D1462" s="279">
        <v>45825</v>
      </c>
      <c r="E1462" s="279">
        <v>45825</v>
      </c>
      <c r="F1462" s="132"/>
      <c r="G1462" s="132" t="s">
        <v>3040</v>
      </c>
      <c r="H1462" s="132" t="s">
        <v>373</v>
      </c>
      <c r="I1462" s="132" t="s">
        <v>1100</v>
      </c>
      <c r="J1462" s="132" t="s">
        <v>1853</v>
      </c>
      <c r="K1462" s="132" t="s">
        <v>1731</v>
      </c>
      <c r="L1462" s="132" t="s">
        <v>1854</v>
      </c>
      <c r="M1462" s="132" t="s">
        <v>4477</v>
      </c>
      <c r="N1462" s="132" t="s">
        <v>1105</v>
      </c>
      <c r="O1462" s="132" t="s">
        <v>3391</v>
      </c>
      <c r="P1462" s="132" t="s">
        <v>4478</v>
      </c>
      <c r="Q1462" s="132" t="s">
        <v>4470</v>
      </c>
      <c r="R1462" s="132" t="s">
        <v>1108</v>
      </c>
    </row>
    <row r="1463" spans="1:67" s="38" customFormat="1" x14ac:dyDescent="0.2">
      <c r="A1463" t="s">
        <v>239</v>
      </c>
      <c r="B1463" s="141">
        <f t="shared" ref="B1463:B1526" si="24">_xlfn.NUMBERVALUE(L1463)*0.01</f>
        <v>20.3</v>
      </c>
      <c r="C1463" s="280">
        <v>45822</v>
      </c>
      <c r="D1463" s="279">
        <v>45825</v>
      </c>
      <c r="E1463" s="279">
        <v>45825</v>
      </c>
      <c r="F1463" s="132"/>
      <c r="G1463" s="132" t="s">
        <v>1561</v>
      </c>
      <c r="H1463" s="132" t="s">
        <v>373</v>
      </c>
      <c r="I1463" s="132" t="s">
        <v>1100</v>
      </c>
      <c r="J1463" s="132" t="s">
        <v>4410</v>
      </c>
      <c r="K1463" s="132" t="s">
        <v>4421</v>
      </c>
      <c r="L1463" s="132" t="s">
        <v>4422</v>
      </c>
      <c r="M1463" s="132" t="s">
        <v>4479</v>
      </c>
      <c r="N1463" s="132" t="s">
        <v>1105</v>
      </c>
      <c r="O1463" s="132" t="s">
        <v>3391</v>
      </c>
      <c r="P1463" s="132" t="s">
        <v>4480</v>
      </c>
      <c r="Q1463" s="132" t="s">
        <v>4470</v>
      </c>
      <c r="R1463" s="132" t="s">
        <v>1108</v>
      </c>
      <c r="S1463" s="42"/>
      <c r="T1463" s="42"/>
      <c r="U1463" s="42"/>
      <c r="V1463" s="42"/>
      <c r="W1463" s="42"/>
      <c r="X1463" s="42"/>
      <c r="Y1463" s="42"/>
      <c r="Z1463" s="42"/>
      <c r="AA1463" s="42"/>
      <c r="AB1463" s="42"/>
      <c r="AC1463" s="42"/>
      <c r="AD1463" s="42"/>
      <c r="AE1463" s="42"/>
      <c r="AF1463" s="42"/>
      <c r="AG1463" s="42"/>
      <c r="AH1463" s="42"/>
      <c r="AI1463" s="42"/>
      <c r="AJ1463" s="42"/>
      <c r="AK1463" s="42"/>
      <c r="AL1463" s="42"/>
      <c r="AM1463" s="42"/>
      <c r="AN1463" s="42"/>
      <c r="AO1463" s="42"/>
      <c r="AP1463" s="42"/>
      <c r="AQ1463" s="42"/>
      <c r="AR1463" s="42"/>
      <c r="AS1463" s="42"/>
      <c r="AT1463" s="42"/>
      <c r="AU1463" s="42"/>
      <c r="AV1463" s="42"/>
      <c r="AW1463" s="42"/>
      <c r="AX1463" s="42"/>
      <c r="AY1463" s="42"/>
      <c r="AZ1463" s="42"/>
      <c r="BA1463" s="42"/>
      <c r="BB1463" s="42"/>
      <c r="BC1463" s="42"/>
      <c r="BD1463" s="42"/>
      <c r="BE1463" s="42"/>
      <c r="BF1463" s="42"/>
      <c r="BG1463" s="42"/>
      <c r="BH1463" s="42"/>
      <c r="BI1463" s="42"/>
      <c r="BJ1463" s="42"/>
      <c r="BK1463" s="42"/>
      <c r="BL1463" s="42"/>
      <c r="BM1463" s="42"/>
      <c r="BN1463" s="42"/>
      <c r="BO1463" s="42"/>
    </row>
    <row r="1464" spans="1:67" x14ac:dyDescent="0.2">
      <c r="A1464" t="s">
        <v>239</v>
      </c>
      <c r="B1464" s="141">
        <f t="shared" si="24"/>
        <v>20.170000000000002</v>
      </c>
      <c r="C1464" s="280">
        <v>45822</v>
      </c>
      <c r="D1464" s="279">
        <v>45825</v>
      </c>
      <c r="E1464" s="279">
        <v>45825</v>
      </c>
      <c r="F1464" s="132"/>
      <c r="G1464" s="132" t="s">
        <v>1108</v>
      </c>
      <c r="H1464" s="132" t="s">
        <v>373</v>
      </c>
      <c r="I1464" s="132" t="s">
        <v>1100</v>
      </c>
      <c r="J1464" s="132" t="s">
        <v>4410</v>
      </c>
      <c r="K1464" s="132" t="s">
        <v>3834</v>
      </c>
      <c r="L1464" s="132" t="s">
        <v>4411</v>
      </c>
      <c r="M1464" s="132" t="s">
        <v>4481</v>
      </c>
      <c r="N1464" s="132" t="s">
        <v>1112</v>
      </c>
      <c r="O1464" s="132" t="s">
        <v>3391</v>
      </c>
      <c r="P1464" s="132" t="s">
        <v>4482</v>
      </c>
      <c r="Q1464" s="132" t="s">
        <v>4470</v>
      </c>
      <c r="R1464" s="132" t="s">
        <v>1108</v>
      </c>
    </row>
    <row r="1465" spans="1:67" x14ac:dyDescent="0.2">
      <c r="A1465" t="s">
        <v>198</v>
      </c>
      <c r="B1465" s="141">
        <f t="shared" si="24"/>
        <v>3.6</v>
      </c>
      <c r="C1465" s="280">
        <v>45822</v>
      </c>
      <c r="D1465" s="279">
        <v>45825</v>
      </c>
      <c r="E1465" s="279">
        <v>45825</v>
      </c>
      <c r="F1465" s="132"/>
      <c r="G1465" s="132" t="s">
        <v>1108</v>
      </c>
      <c r="H1465" s="132" t="s">
        <v>373</v>
      </c>
      <c r="I1465" s="132" t="s">
        <v>1100</v>
      </c>
      <c r="J1465" s="132" t="s">
        <v>1853</v>
      </c>
      <c r="K1465" s="132" t="s">
        <v>1755</v>
      </c>
      <c r="L1465" s="132" t="s">
        <v>1962</v>
      </c>
      <c r="M1465" s="132" t="s">
        <v>4483</v>
      </c>
      <c r="N1465" s="132" t="s">
        <v>1112</v>
      </c>
      <c r="O1465" s="132" t="s">
        <v>3391</v>
      </c>
      <c r="P1465" s="132" t="s">
        <v>4484</v>
      </c>
      <c r="Q1465" s="132" t="s">
        <v>4470</v>
      </c>
      <c r="R1465" s="132" t="s">
        <v>1108</v>
      </c>
    </row>
    <row r="1466" spans="1:67" x14ac:dyDescent="0.2">
      <c r="A1466" t="s">
        <v>239</v>
      </c>
      <c r="B1466" s="141">
        <f t="shared" si="24"/>
        <v>20.3</v>
      </c>
      <c r="C1466" s="280">
        <v>45823</v>
      </c>
      <c r="D1466" s="279">
        <v>45825</v>
      </c>
      <c r="E1466" s="279">
        <v>45825</v>
      </c>
      <c r="F1466" s="132"/>
      <c r="G1466" s="132" t="s">
        <v>1923</v>
      </c>
      <c r="H1466" s="132" t="s">
        <v>373</v>
      </c>
      <c r="I1466" s="132" t="s">
        <v>1100</v>
      </c>
      <c r="J1466" s="132" t="s">
        <v>4410</v>
      </c>
      <c r="K1466" s="132" t="s">
        <v>4421</v>
      </c>
      <c r="L1466" s="132" t="s">
        <v>4422</v>
      </c>
      <c r="M1466" s="132" t="s">
        <v>4485</v>
      </c>
      <c r="N1466" s="132" t="s">
        <v>1105</v>
      </c>
      <c r="O1466" s="132" t="s">
        <v>3391</v>
      </c>
      <c r="P1466" s="132" t="s">
        <v>4486</v>
      </c>
      <c r="Q1466" s="132" t="s">
        <v>4470</v>
      </c>
      <c r="R1466" s="132" t="s">
        <v>1108</v>
      </c>
    </row>
    <row r="1467" spans="1:67" x14ac:dyDescent="0.2">
      <c r="A1467" t="s">
        <v>285</v>
      </c>
      <c r="B1467" s="141">
        <f t="shared" si="24"/>
        <v>6.04</v>
      </c>
      <c r="C1467" s="280">
        <v>45823</v>
      </c>
      <c r="D1467" s="279">
        <v>45825</v>
      </c>
      <c r="E1467" s="279">
        <v>45825</v>
      </c>
      <c r="F1467" s="132"/>
      <c r="G1467" s="132" t="s">
        <v>1108</v>
      </c>
      <c r="H1467" s="132" t="s">
        <v>373</v>
      </c>
      <c r="I1467" s="132" t="s">
        <v>1100</v>
      </c>
      <c r="J1467" s="132" t="s">
        <v>1101</v>
      </c>
      <c r="K1467" s="132" t="s">
        <v>1109</v>
      </c>
      <c r="L1467" s="132" t="s">
        <v>1110</v>
      </c>
      <c r="M1467" s="132" t="s">
        <v>4487</v>
      </c>
      <c r="N1467" s="132" t="s">
        <v>1112</v>
      </c>
      <c r="O1467" s="132" t="s">
        <v>3391</v>
      </c>
      <c r="P1467" s="132" t="s">
        <v>4488</v>
      </c>
      <c r="Q1467" s="132" t="s">
        <v>4470</v>
      </c>
      <c r="R1467" s="132" t="s">
        <v>1108</v>
      </c>
    </row>
    <row r="1468" spans="1:67" x14ac:dyDescent="0.2">
      <c r="A1468" t="s">
        <v>283</v>
      </c>
      <c r="B1468" s="141">
        <f t="shared" si="24"/>
        <v>3.6</v>
      </c>
      <c r="C1468" s="280">
        <v>45823</v>
      </c>
      <c r="D1468" s="279">
        <v>45825</v>
      </c>
      <c r="E1468" s="279">
        <v>45825</v>
      </c>
      <c r="F1468" s="132"/>
      <c r="G1468" s="132" t="s">
        <v>1108</v>
      </c>
      <c r="H1468" s="132" t="s">
        <v>373</v>
      </c>
      <c r="I1468" s="132" t="s">
        <v>1100</v>
      </c>
      <c r="J1468" s="132" t="s">
        <v>1853</v>
      </c>
      <c r="K1468" s="132" t="s">
        <v>1755</v>
      </c>
      <c r="L1468" s="132" t="s">
        <v>1962</v>
      </c>
      <c r="M1468" s="132" t="s">
        <v>4489</v>
      </c>
      <c r="N1468" s="132" t="s">
        <v>1112</v>
      </c>
      <c r="O1468" s="132" t="s">
        <v>3391</v>
      </c>
      <c r="P1468" s="132" t="s">
        <v>4490</v>
      </c>
      <c r="Q1468" s="132" t="s">
        <v>4470</v>
      </c>
      <c r="R1468" s="132" t="s">
        <v>1108</v>
      </c>
    </row>
    <row r="1469" spans="1:67" x14ac:dyDescent="0.2">
      <c r="A1469" t="s">
        <v>284</v>
      </c>
      <c r="B1469" s="141">
        <f t="shared" si="24"/>
        <v>4.09</v>
      </c>
      <c r="C1469" s="280">
        <v>45823</v>
      </c>
      <c r="D1469" s="279">
        <v>45825</v>
      </c>
      <c r="E1469" s="279">
        <v>45825</v>
      </c>
      <c r="F1469" s="132"/>
      <c r="G1469" s="132" t="s">
        <v>1108</v>
      </c>
      <c r="H1469" s="132" t="s">
        <v>373</v>
      </c>
      <c r="I1469" s="132" t="s">
        <v>1100</v>
      </c>
      <c r="J1469" s="132" t="s">
        <v>1754</v>
      </c>
      <c r="K1469" s="132" t="s">
        <v>1792</v>
      </c>
      <c r="L1469" s="132" t="s">
        <v>1793</v>
      </c>
      <c r="M1469" s="132" t="s">
        <v>4491</v>
      </c>
      <c r="N1469" s="132" t="s">
        <v>1112</v>
      </c>
      <c r="O1469" s="132" t="s">
        <v>3391</v>
      </c>
      <c r="P1469" s="132" t="s">
        <v>4492</v>
      </c>
      <c r="Q1469" s="132" t="s">
        <v>4470</v>
      </c>
      <c r="R1469" s="132" t="s">
        <v>1108</v>
      </c>
    </row>
    <row r="1470" spans="1:67" x14ac:dyDescent="0.2">
      <c r="A1470" t="s">
        <v>239</v>
      </c>
      <c r="B1470" s="141">
        <f t="shared" si="24"/>
        <v>20.170000000000002</v>
      </c>
      <c r="C1470" s="280">
        <v>45823</v>
      </c>
      <c r="D1470" s="279">
        <v>45825</v>
      </c>
      <c r="E1470" s="279">
        <v>45825</v>
      </c>
      <c r="F1470" s="132"/>
      <c r="G1470" s="132" t="s">
        <v>1108</v>
      </c>
      <c r="H1470" s="132" t="s">
        <v>373</v>
      </c>
      <c r="I1470" s="132" t="s">
        <v>1100</v>
      </c>
      <c r="J1470" s="132" t="s">
        <v>4410</v>
      </c>
      <c r="K1470" s="132" t="s">
        <v>3834</v>
      </c>
      <c r="L1470" s="132" t="s">
        <v>4411</v>
      </c>
      <c r="M1470" s="132" t="s">
        <v>4493</v>
      </c>
      <c r="N1470" s="132" t="s">
        <v>1112</v>
      </c>
      <c r="O1470" s="132" t="s">
        <v>3391</v>
      </c>
      <c r="P1470" s="132" t="s">
        <v>4494</v>
      </c>
      <c r="Q1470" s="132" t="s">
        <v>4470</v>
      </c>
      <c r="R1470" s="132" t="s">
        <v>1108</v>
      </c>
    </row>
    <row r="1471" spans="1:67" x14ac:dyDescent="0.2">
      <c r="A1471" t="s">
        <v>198</v>
      </c>
      <c r="B1471" s="141">
        <f t="shared" si="24"/>
        <v>3.6</v>
      </c>
      <c r="C1471" s="280">
        <v>45823</v>
      </c>
      <c r="D1471" s="279">
        <v>45825</v>
      </c>
      <c r="E1471" s="279">
        <v>45825</v>
      </c>
      <c r="F1471" s="132"/>
      <c r="G1471" s="132" t="s">
        <v>1108</v>
      </c>
      <c r="H1471" s="132" t="s">
        <v>373</v>
      </c>
      <c r="I1471" s="132" t="s">
        <v>1100</v>
      </c>
      <c r="J1471" s="132" t="s">
        <v>1853</v>
      </c>
      <c r="K1471" s="132" t="s">
        <v>1755</v>
      </c>
      <c r="L1471" s="132" t="s">
        <v>1962</v>
      </c>
      <c r="M1471" s="132" t="s">
        <v>4495</v>
      </c>
      <c r="N1471" s="132" t="s">
        <v>1112</v>
      </c>
      <c r="O1471" s="132" t="s">
        <v>3391</v>
      </c>
      <c r="P1471" s="132" t="s">
        <v>4496</v>
      </c>
      <c r="Q1471" s="132" t="s">
        <v>4470</v>
      </c>
      <c r="R1471" s="132" t="s">
        <v>1108</v>
      </c>
    </row>
    <row r="1472" spans="1:67" x14ac:dyDescent="0.2">
      <c r="A1472" t="s">
        <v>239</v>
      </c>
      <c r="B1472" s="141">
        <f t="shared" si="24"/>
        <v>20.3</v>
      </c>
      <c r="C1472" s="280">
        <v>45823</v>
      </c>
      <c r="D1472" s="279">
        <v>45825</v>
      </c>
      <c r="E1472" s="279">
        <v>45825</v>
      </c>
      <c r="F1472" s="132"/>
      <c r="G1472" s="132" t="s">
        <v>1108</v>
      </c>
      <c r="H1472" s="132" t="s">
        <v>373</v>
      </c>
      <c r="I1472" s="132" t="s">
        <v>1100</v>
      </c>
      <c r="J1472" s="132" t="s">
        <v>4410</v>
      </c>
      <c r="K1472" s="132" t="s">
        <v>4421</v>
      </c>
      <c r="L1472" s="132" t="s">
        <v>4422</v>
      </c>
      <c r="M1472" s="132" t="s">
        <v>4497</v>
      </c>
      <c r="N1472" s="132" t="s">
        <v>1117</v>
      </c>
      <c r="O1472" s="132" t="s">
        <v>3391</v>
      </c>
      <c r="P1472" s="132" t="s">
        <v>4498</v>
      </c>
      <c r="Q1472" s="132" t="s">
        <v>4470</v>
      </c>
      <c r="R1472" s="132" t="s">
        <v>1108</v>
      </c>
    </row>
    <row r="1473" spans="1:18" x14ac:dyDescent="0.2">
      <c r="A1473" t="s">
        <v>239</v>
      </c>
      <c r="B1473" s="141">
        <f t="shared" si="24"/>
        <v>20.3</v>
      </c>
      <c r="C1473" s="280">
        <v>45824</v>
      </c>
      <c r="D1473" s="279">
        <v>45826</v>
      </c>
      <c r="E1473" s="279">
        <v>45826</v>
      </c>
      <c r="F1473" s="132"/>
      <c r="G1473" s="132" t="s">
        <v>4035</v>
      </c>
      <c r="H1473" s="132" t="s">
        <v>373</v>
      </c>
      <c r="I1473" s="132" t="s">
        <v>1100</v>
      </c>
      <c r="J1473" s="132" t="s">
        <v>4410</v>
      </c>
      <c r="K1473" s="132" t="s">
        <v>4421</v>
      </c>
      <c r="L1473" s="132" t="s">
        <v>4422</v>
      </c>
      <c r="M1473" s="132" t="s">
        <v>4499</v>
      </c>
      <c r="N1473" s="132" t="s">
        <v>1105</v>
      </c>
      <c r="O1473" s="132" t="s">
        <v>3391</v>
      </c>
      <c r="P1473" s="132" t="s">
        <v>4500</v>
      </c>
      <c r="Q1473" s="132" t="s">
        <v>4501</v>
      </c>
      <c r="R1473" s="132" t="s">
        <v>1108</v>
      </c>
    </row>
    <row r="1474" spans="1:18" x14ac:dyDescent="0.2">
      <c r="A1474" t="s">
        <v>240</v>
      </c>
      <c r="B1474" s="141">
        <f t="shared" si="24"/>
        <v>22.12</v>
      </c>
      <c r="C1474" s="280">
        <v>45824</v>
      </c>
      <c r="D1474" s="279">
        <v>45826</v>
      </c>
      <c r="E1474" s="279">
        <v>45826</v>
      </c>
      <c r="F1474" s="132"/>
      <c r="G1474" s="132" t="s">
        <v>1108</v>
      </c>
      <c r="H1474" s="132" t="s">
        <v>373</v>
      </c>
      <c r="I1474" s="132" t="s">
        <v>1100</v>
      </c>
      <c r="J1474" s="132" t="s">
        <v>4448</v>
      </c>
      <c r="K1474" s="132" t="s">
        <v>4502</v>
      </c>
      <c r="L1474" s="132" t="s">
        <v>4503</v>
      </c>
      <c r="M1474" s="132" t="s">
        <v>4504</v>
      </c>
      <c r="N1474" s="132" t="s">
        <v>1112</v>
      </c>
      <c r="O1474" s="132" t="s">
        <v>3391</v>
      </c>
      <c r="P1474" s="132" t="s">
        <v>4505</v>
      </c>
      <c r="Q1474" s="132" t="s">
        <v>4501</v>
      </c>
      <c r="R1474" s="132" t="s">
        <v>1108</v>
      </c>
    </row>
    <row r="1475" spans="1:18" x14ac:dyDescent="0.2">
      <c r="A1475" t="s">
        <v>239</v>
      </c>
      <c r="B1475" s="141">
        <f t="shared" si="24"/>
        <v>20.170000000000002</v>
      </c>
      <c r="C1475" s="280">
        <v>45824</v>
      </c>
      <c r="D1475" s="279">
        <v>45826</v>
      </c>
      <c r="E1475" s="279">
        <v>45826</v>
      </c>
      <c r="F1475" s="132"/>
      <c r="G1475" s="132" t="s">
        <v>1108</v>
      </c>
      <c r="H1475" s="132" t="s">
        <v>373</v>
      </c>
      <c r="I1475" s="132" t="s">
        <v>1100</v>
      </c>
      <c r="J1475" s="132" t="s">
        <v>4410</v>
      </c>
      <c r="K1475" s="132" t="s">
        <v>3834</v>
      </c>
      <c r="L1475" s="132" t="s">
        <v>4411</v>
      </c>
      <c r="M1475" s="132" t="s">
        <v>4506</v>
      </c>
      <c r="N1475" s="132" t="s">
        <v>1112</v>
      </c>
      <c r="O1475" s="132" t="s">
        <v>3391</v>
      </c>
      <c r="P1475" s="132" t="s">
        <v>4507</v>
      </c>
      <c r="Q1475" s="132" t="s">
        <v>4501</v>
      </c>
      <c r="R1475" s="132" t="s">
        <v>1108</v>
      </c>
    </row>
    <row r="1476" spans="1:18" x14ac:dyDescent="0.2">
      <c r="A1476" t="s">
        <v>239</v>
      </c>
      <c r="B1476" s="141">
        <f t="shared" si="24"/>
        <v>20.170000000000002</v>
      </c>
      <c r="C1476" s="280">
        <v>45824</v>
      </c>
      <c r="D1476" s="279">
        <v>45826</v>
      </c>
      <c r="E1476" s="279">
        <v>45826</v>
      </c>
      <c r="F1476" s="132"/>
      <c r="G1476" s="132" t="s">
        <v>1108</v>
      </c>
      <c r="H1476" s="132" t="s">
        <v>373</v>
      </c>
      <c r="I1476" s="132" t="s">
        <v>1100</v>
      </c>
      <c r="J1476" s="132" t="s">
        <v>4410</v>
      </c>
      <c r="K1476" s="132" t="s">
        <v>3834</v>
      </c>
      <c r="L1476" s="132" t="s">
        <v>4411</v>
      </c>
      <c r="M1476" s="132" t="s">
        <v>4508</v>
      </c>
      <c r="N1476" s="132" t="s">
        <v>1112</v>
      </c>
      <c r="O1476" s="132" t="s">
        <v>3391</v>
      </c>
      <c r="P1476" s="132" t="s">
        <v>4509</v>
      </c>
      <c r="Q1476" s="132" t="s">
        <v>4501</v>
      </c>
      <c r="R1476" s="132" t="s">
        <v>1108</v>
      </c>
    </row>
    <row r="1477" spans="1:18" x14ac:dyDescent="0.2">
      <c r="A1477" t="s">
        <v>239</v>
      </c>
      <c r="B1477" s="141">
        <f t="shared" si="24"/>
        <v>20.170000000000002</v>
      </c>
      <c r="C1477" s="280">
        <v>45824</v>
      </c>
      <c r="D1477" s="279">
        <v>45826</v>
      </c>
      <c r="E1477" s="279">
        <v>45826</v>
      </c>
      <c r="F1477" s="132"/>
      <c r="G1477" s="132" t="s">
        <v>1108</v>
      </c>
      <c r="H1477" s="132" t="s">
        <v>373</v>
      </c>
      <c r="I1477" s="132" t="s">
        <v>1100</v>
      </c>
      <c r="J1477" s="132" t="s">
        <v>4410</v>
      </c>
      <c r="K1477" s="132" t="s">
        <v>3834</v>
      </c>
      <c r="L1477" s="132" t="s">
        <v>4411</v>
      </c>
      <c r="M1477" s="281" t="s">
        <v>4510</v>
      </c>
      <c r="N1477" s="132" t="s">
        <v>1112</v>
      </c>
      <c r="O1477" s="132" t="s">
        <v>3391</v>
      </c>
      <c r="P1477" s="132" t="s">
        <v>4511</v>
      </c>
      <c r="Q1477" s="132" t="s">
        <v>4501</v>
      </c>
      <c r="R1477" s="132" t="s">
        <v>1108</v>
      </c>
    </row>
    <row r="1478" spans="1:18" x14ac:dyDescent="0.2">
      <c r="A1478" t="s">
        <v>240</v>
      </c>
      <c r="B1478" s="141">
        <f t="shared" si="24"/>
        <v>22.12</v>
      </c>
      <c r="C1478" s="280">
        <v>45824</v>
      </c>
      <c r="D1478" s="279">
        <v>45826</v>
      </c>
      <c r="E1478" s="279">
        <v>45826</v>
      </c>
      <c r="F1478" s="132"/>
      <c r="G1478" s="132" t="s">
        <v>1108</v>
      </c>
      <c r="H1478" s="132" t="s">
        <v>373</v>
      </c>
      <c r="I1478" s="132" t="s">
        <v>1100</v>
      </c>
      <c r="J1478" s="132" t="s">
        <v>4448</v>
      </c>
      <c r="K1478" s="132" t="s">
        <v>4502</v>
      </c>
      <c r="L1478" s="132" t="s">
        <v>4503</v>
      </c>
      <c r="M1478" s="132" t="s">
        <v>4512</v>
      </c>
      <c r="N1478" s="132" t="s">
        <v>1112</v>
      </c>
      <c r="O1478" s="132" t="s">
        <v>3391</v>
      </c>
      <c r="P1478" s="132" t="s">
        <v>4513</v>
      </c>
      <c r="Q1478" s="132" t="s">
        <v>4501</v>
      </c>
      <c r="R1478" s="132" t="s">
        <v>1108</v>
      </c>
    </row>
    <row r="1479" spans="1:18" x14ac:dyDescent="0.2">
      <c r="A1479" t="s">
        <v>239</v>
      </c>
      <c r="B1479" s="141">
        <f t="shared" si="24"/>
        <v>20.170000000000002</v>
      </c>
      <c r="C1479" s="280">
        <v>45824</v>
      </c>
      <c r="D1479" s="279">
        <v>45826</v>
      </c>
      <c r="E1479" s="279">
        <v>45826</v>
      </c>
      <c r="F1479" s="132"/>
      <c r="G1479" s="132" t="s">
        <v>1108</v>
      </c>
      <c r="H1479" s="132" t="s">
        <v>373</v>
      </c>
      <c r="I1479" s="132" t="s">
        <v>1100</v>
      </c>
      <c r="J1479" s="132" t="s">
        <v>4410</v>
      </c>
      <c r="K1479" s="132" t="s">
        <v>3834</v>
      </c>
      <c r="L1479" s="132" t="s">
        <v>4411</v>
      </c>
      <c r="M1479" s="132" t="s">
        <v>4514</v>
      </c>
      <c r="N1479" s="132" t="s">
        <v>1112</v>
      </c>
      <c r="O1479" s="132" t="s">
        <v>3391</v>
      </c>
      <c r="P1479" s="132" t="s">
        <v>4515</v>
      </c>
      <c r="Q1479" s="132" t="s">
        <v>4501</v>
      </c>
      <c r="R1479" s="132" t="s">
        <v>1108</v>
      </c>
    </row>
    <row r="1480" spans="1:18" x14ac:dyDescent="0.2">
      <c r="A1480" t="s">
        <v>239</v>
      </c>
      <c r="B1480" s="141">
        <f t="shared" si="24"/>
        <v>20.170000000000002</v>
      </c>
      <c r="C1480" s="280">
        <v>45824</v>
      </c>
      <c r="D1480" s="279">
        <v>45826</v>
      </c>
      <c r="E1480" s="279">
        <v>45826</v>
      </c>
      <c r="F1480" s="132"/>
      <c r="G1480" s="132" t="s">
        <v>1108</v>
      </c>
      <c r="H1480" s="132" t="s">
        <v>373</v>
      </c>
      <c r="I1480" s="132" t="s">
        <v>1100</v>
      </c>
      <c r="J1480" s="132" t="s">
        <v>4410</v>
      </c>
      <c r="K1480" s="132" t="s">
        <v>3834</v>
      </c>
      <c r="L1480" s="132" t="s">
        <v>4411</v>
      </c>
      <c r="M1480" s="132" t="s">
        <v>4516</v>
      </c>
      <c r="N1480" s="132" t="s">
        <v>1112</v>
      </c>
      <c r="O1480" s="132" t="s">
        <v>3391</v>
      </c>
      <c r="P1480" s="132" t="s">
        <v>4517</v>
      </c>
      <c r="Q1480" s="132" t="s">
        <v>4501</v>
      </c>
      <c r="R1480" s="132" t="s">
        <v>1108</v>
      </c>
    </row>
    <row r="1481" spans="1:18" x14ac:dyDescent="0.2">
      <c r="A1481" t="s">
        <v>239</v>
      </c>
      <c r="B1481" s="141">
        <f t="shared" si="24"/>
        <v>20.170000000000002</v>
      </c>
      <c r="C1481" s="280">
        <v>45824</v>
      </c>
      <c r="D1481" s="279">
        <v>45826</v>
      </c>
      <c r="E1481" s="279">
        <v>45826</v>
      </c>
      <c r="F1481" s="132"/>
      <c r="G1481" s="132" t="s">
        <v>1108</v>
      </c>
      <c r="H1481" s="132" t="s">
        <v>373</v>
      </c>
      <c r="I1481" s="132" t="s">
        <v>1100</v>
      </c>
      <c r="J1481" s="132" t="s">
        <v>4410</v>
      </c>
      <c r="K1481" s="132" t="s">
        <v>3834</v>
      </c>
      <c r="L1481" s="132" t="s">
        <v>4411</v>
      </c>
      <c r="M1481" s="132" t="s">
        <v>4518</v>
      </c>
      <c r="N1481" s="132" t="s">
        <v>1112</v>
      </c>
      <c r="O1481" s="132" t="s">
        <v>3391</v>
      </c>
      <c r="P1481" s="132" t="s">
        <v>4519</v>
      </c>
      <c r="Q1481" s="132" t="s">
        <v>4501</v>
      </c>
      <c r="R1481" s="132" t="s">
        <v>1108</v>
      </c>
    </row>
    <row r="1482" spans="1:18" x14ac:dyDescent="0.2">
      <c r="A1482" t="s">
        <v>239</v>
      </c>
      <c r="B1482" s="141">
        <f t="shared" si="24"/>
        <v>20.170000000000002</v>
      </c>
      <c r="C1482" s="280">
        <v>45824</v>
      </c>
      <c r="D1482" s="279">
        <v>45826</v>
      </c>
      <c r="E1482" s="279">
        <v>45826</v>
      </c>
      <c r="F1482" s="132"/>
      <c r="G1482" s="132" t="s">
        <v>1108</v>
      </c>
      <c r="H1482" s="132" t="s">
        <v>373</v>
      </c>
      <c r="I1482" s="132" t="s">
        <v>1100</v>
      </c>
      <c r="J1482" s="132" t="s">
        <v>4410</v>
      </c>
      <c r="K1482" s="132" t="s">
        <v>3834</v>
      </c>
      <c r="L1482" s="132" t="s">
        <v>4411</v>
      </c>
      <c r="M1482" s="132" t="s">
        <v>4520</v>
      </c>
      <c r="N1482" s="132" t="s">
        <v>1112</v>
      </c>
      <c r="O1482" s="132" t="s">
        <v>3391</v>
      </c>
      <c r="P1482" s="132" t="s">
        <v>4521</v>
      </c>
      <c r="Q1482" s="132" t="s">
        <v>4501</v>
      </c>
      <c r="R1482" s="132" t="s">
        <v>1108</v>
      </c>
    </row>
    <row r="1483" spans="1:18" x14ac:dyDescent="0.2">
      <c r="A1483" t="s">
        <v>198</v>
      </c>
      <c r="B1483" s="141">
        <f t="shared" si="24"/>
        <v>3.62</v>
      </c>
      <c r="C1483" s="280">
        <v>45824</v>
      </c>
      <c r="D1483" s="279">
        <v>45826</v>
      </c>
      <c r="E1483" s="279">
        <v>45826</v>
      </c>
      <c r="F1483" s="132"/>
      <c r="G1483" s="132" t="s">
        <v>1108</v>
      </c>
      <c r="H1483" s="132" t="s">
        <v>373</v>
      </c>
      <c r="I1483" s="132" t="s">
        <v>1100</v>
      </c>
      <c r="J1483" s="132" t="s">
        <v>1853</v>
      </c>
      <c r="K1483" s="132" t="s">
        <v>1731</v>
      </c>
      <c r="L1483" s="132" t="s">
        <v>1854</v>
      </c>
      <c r="M1483" s="132" t="s">
        <v>4522</v>
      </c>
      <c r="N1483" s="132" t="s">
        <v>1117</v>
      </c>
      <c r="O1483" s="132" t="s">
        <v>3391</v>
      </c>
      <c r="P1483" s="132" t="s">
        <v>4523</v>
      </c>
      <c r="Q1483" s="132" t="s">
        <v>4501</v>
      </c>
      <c r="R1483" s="132" t="s">
        <v>1108</v>
      </c>
    </row>
    <row r="1484" spans="1:18" x14ac:dyDescent="0.2">
      <c r="A1484" t="s">
        <v>198</v>
      </c>
      <c r="B1484" s="141">
        <f t="shared" si="24"/>
        <v>3.6</v>
      </c>
      <c r="C1484" s="280">
        <v>45824</v>
      </c>
      <c r="D1484" s="279">
        <v>45826</v>
      </c>
      <c r="E1484" s="279">
        <v>45826</v>
      </c>
      <c r="F1484" s="132"/>
      <c r="G1484" s="132" t="s">
        <v>1108</v>
      </c>
      <c r="H1484" s="132" t="s">
        <v>373</v>
      </c>
      <c r="I1484" s="132" t="s">
        <v>1100</v>
      </c>
      <c r="J1484" s="132" t="s">
        <v>1853</v>
      </c>
      <c r="K1484" s="132" t="s">
        <v>1755</v>
      </c>
      <c r="L1484" s="132" t="s">
        <v>1962</v>
      </c>
      <c r="M1484" s="132" t="s">
        <v>4524</v>
      </c>
      <c r="N1484" s="132" t="s">
        <v>1112</v>
      </c>
      <c r="O1484" s="132" t="s">
        <v>3391</v>
      </c>
      <c r="P1484" s="132" t="s">
        <v>4525</v>
      </c>
      <c r="Q1484" s="132" t="s">
        <v>4501</v>
      </c>
      <c r="R1484" s="132" t="s">
        <v>1108</v>
      </c>
    </row>
    <row r="1485" spans="1:18" x14ac:dyDescent="0.2">
      <c r="A1485" t="s">
        <v>198</v>
      </c>
      <c r="B1485" s="141">
        <f t="shared" si="24"/>
        <v>3.6</v>
      </c>
      <c r="C1485" s="280">
        <v>45824</v>
      </c>
      <c r="D1485" s="279">
        <v>45826</v>
      </c>
      <c r="E1485" s="279">
        <v>45826</v>
      </c>
      <c r="F1485" s="132"/>
      <c r="G1485" s="132" t="s">
        <v>1108</v>
      </c>
      <c r="H1485" s="132" t="s">
        <v>373</v>
      </c>
      <c r="I1485" s="132" t="s">
        <v>1100</v>
      </c>
      <c r="J1485" s="132" t="s">
        <v>1853</v>
      </c>
      <c r="K1485" s="132" t="s">
        <v>1755</v>
      </c>
      <c r="L1485" s="132" t="s">
        <v>1962</v>
      </c>
      <c r="M1485" s="132" t="s">
        <v>4526</v>
      </c>
      <c r="N1485" s="132" t="s">
        <v>1112</v>
      </c>
      <c r="O1485" s="132" t="s">
        <v>3391</v>
      </c>
      <c r="P1485" s="132" t="s">
        <v>4527</v>
      </c>
      <c r="Q1485" s="132" t="s">
        <v>4501</v>
      </c>
      <c r="R1485" s="132" t="s">
        <v>1108</v>
      </c>
    </row>
    <row r="1486" spans="1:18" x14ac:dyDescent="0.2">
      <c r="A1486" t="s">
        <v>198</v>
      </c>
      <c r="B1486" s="141">
        <f t="shared" si="24"/>
        <v>3.62</v>
      </c>
      <c r="C1486" s="280">
        <v>45825</v>
      </c>
      <c r="D1486" s="279">
        <v>45827</v>
      </c>
      <c r="E1486" s="279">
        <v>45827</v>
      </c>
      <c r="F1486" s="132"/>
      <c r="G1486" s="132" t="s">
        <v>1108</v>
      </c>
      <c r="H1486" s="132" t="s">
        <v>373</v>
      </c>
      <c r="I1486" s="132" t="s">
        <v>1100</v>
      </c>
      <c r="J1486" s="132" t="s">
        <v>1853</v>
      </c>
      <c r="K1486" s="132" t="s">
        <v>1731</v>
      </c>
      <c r="L1486" s="132" t="s">
        <v>1854</v>
      </c>
      <c r="M1486" s="132" t="s">
        <v>4528</v>
      </c>
      <c r="N1486" s="132" t="s">
        <v>1117</v>
      </c>
      <c r="O1486" s="132" t="s">
        <v>3391</v>
      </c>
      <c r="P1486" s="132" t="s">
        <v>4529</v>
      </c>
      <c r="Q1486" s="132" t="s">
        <v>4530</v>
      </c>
      <c r="R1486" s="132" t="s">
        <v>1108</v>
      </c>
    </row>
    <row r="1487" spans="1:18" x14ac:dyDescent="0.2">
      <c r="A1487" t="s">
        <v>239</v>
      </c>
      <c r="B1487" s="141">
        <f t="shared" si="24"/>
        <v>20.3</v>
      </c>
      <c r="C1487" s="280">
        <v>45825</v>
      </c>
      <c r="D1487" s="279">
        <v>45827</v>
      </c>
      <c r="E1487" s="279">
        <v>45827</v>
      </c>
      <c r="F1487" s="132"/>
      <c r="G1487" s="132" t="s">
        <v>4531</v>
      </c>
      <c r="H1487" s="132" t="s">
        <v>373</v>
      </c>
      <c r="I1487" s="132" t="s">
        <v>1100</v>
      </c>
      <c r="J1487" s="132" t="s">
        <v>4410</v>
      </c>
      <c r="K1487" s="132" t="s">
        <v>4421</v>
      </c>
      <c r="L1487" s="132" t="s">
        <v>4422</v>
      </c>
      <c r="M1487" s="132" t="s">
        <v>4532</v>
      </c>
      <c r="N1487" s="132" t="s">
        <v>1105</v>
      </c>
      <c r="O1487" s="132" t="s">
        <v>3391</v>
      </c>
      <c r="P1487" s="132" t="s">
        <v>4533</v>
      </c>
      <c r="Q1487" s="132" t="s">
        <v>4530</v>
      </c>
      <c r="R1487" s="132" t="s">
        <v>1108</v>
      </c>
    </row>
    <row r="1488" spans="1:18" x14ac:dyDescent="0.2">
      <c r="A1488" t="s">
        <v>240</v>
      </c>
      <c r="B1488" s="141">
        <f t="shared" si="24"/>
        <v>22.12</v>
      </c>
      <c r="C1488" s="280">
        <v>45825</v>
      </c>
      <c r="D1488" s="279">
        <v>45827</v>
      </c>
      <c r="E1488" s="279">
        <v>45827</v>
      </c>
      <c r="F1488" s="132"/>
      <c r="G1488" s="132" t="s">
        <v>1108</v>
      </c>
      <c r="H1488" s="132" t="s">
        <v>373</v>
      </c>
      <c r="I1488" s="132" t="s">
        <v>1100</v>
      </c>
      <c r="J1488" s="132" t="s">
        <v>4448</v>
      </c>
      <c r="K1488" s="132" t="s">
        <v>4502</v>
      </c>
      <c r="L1488" s="132" t="s">
        <v>4503</v>
      </c>
      <c r="M1488" s="132" t="s">
        <v>4534</v>
      </c>
      <c r="N1488" s="132" t="s">
        <v>1112</v>
      </c>
      <c r="O1488" s="132" t="s">
        <v>3391</v>
      </c>
      <c r="P1488" s="132" t="s">
        <v>4535</v>
      </c>
      <c r="Q1488" s="132" t="s">
        <v>4530</v>
      </c>
      <c r="R1488" s="132" t="s">
        <v>1108</v>
      </c>
    </row>
    <row r="1489" spans="1:18" x14ac:dyDescent="0.2">
      <c r="A1489" t="s">
        <v>239</v>
      </c>
      <c r="B1489" s="141">
        <f t="shared" si="24"/>
        <v>20.3</v>
      </c>
      <c r="C1489" s="280">
        <v>45825</v>
      </c>
      <c r="D1489" s="279">
        <v>45827</v>
      </c>
      <c r="E1489" s="279">
        <v>45827</v>
      </c>
      <c r="F1489" s="132"/>
      <c r="G1489" s="132" t="s">
        <v>1108</v>
      </c>
      <c r="H1489" s="132" t="s">
        <v>373</v>
      </c>
      <c r="I1489" s="132" t="s">
        <v>1100</v>
      </c>
      <c r="J1489" s="132" t="s">
        <v>4410</v>
      </c>
      <c r="K1489" s="132" t="s">
        <v>4421</v>
      </c>
      <c r="L1489" s="132" t="s">
        <v>4422</v>
      </c>
      <c r="M1489" s="132" t="s">
        <v>4536</v>
      </c>
      <c r="N1489" s="132" t="s">
        <v>1117</v>
      </c>
      <c r="O1489" s="132" t="s">
        <v>3391</v>
      </c>
      <c r="P1489" s="132" t="s">
        <v>4537</v>
      </c>
      <c r="Q1489" s="132" t="s">
        <v>4530</v>
      </c>
      <c r="R1489" s="132" t="s">
        <v>1108</v>
      </c>
    </row>
    <row r="1490" spans="1:18" x14ac:dyDescent="0.2">
      <c r="A1490" t="s">
        <v>239</v>
      </c>
      <c r="B1490" s="141">
        <f t="shared" si="24"/>
        <v>20.3</v>
      </c>
      <c r="C1490" s="280">
        <v>45825</v>
      </c>
      <c r="D1490" s="279">
        <v>45827</v>
      </c>
      <c r="E1490" s="279">
        <v>45827</v>
      </c>
      <c r="F1490" s="132"/>
      <c r="G1490" s="132" t="s">
        <v>1108</v>
      </c>
      <c r="H1490" s="132" t="s">
        <v>373</v>
      </c>
      <c r="I1490" s="132" t="s">
        <v>1100</v>
      </c>
      <c r="J1490" s="132" t="s">
        <v>4410</v>
      </c>
      <c r="K1490" s="132" t="s">
        <v>4421</v>
      </c>
      <c r="L1490" s="132" t="s">
        <v>4422</v>
      </c>
      <c r="M1490" s="132" t="s">
        <v>4538</v>
      </c>
      <c r="N1490" s="132" t="s">
        <v>1117</v>
      </c>
      <c r="O1490" s="132" t="s">
        <v>3391</v>
      </c>
      <c r="P1490" s="132" t="s">
        <v>4539</v>
      </c>
      <c r="Q1490" s="132" t="s">
        <v>4530</v>
      </c>
      <c r="R1490" s="132" t="s">
        <v>1108</v>
      </c>
    </row>
    <row r="1491" spans="1:18" x14ac:dyDescent="0.2">
      <c r="A1491" t="s">
        <v>239</v>
      </c>
      <c r="B1491" s="141">
        <f t="shared" si="24"/>
        <v>20.3</v>
      </c>
      <c r="C1491" s="280">
        <v>45825</v>
      </c>
      <c r="D1491" s="279">
        <v>45827</v>
      </c>
      <c r="E1491" s="279">
        <v>45827</v>
      </c>
      <c r="F1491" s="132"/>
      <c r="G1491" s="132" t="s">
        <v>1108</v>
      </c>
      <c r="H1491" s="132" t="s">
        <v>373</v>
      </c>
      <c r="I1491" s="132" t="s">
        <v>1100</v>
      </c>
      <c r="J1491" s="132" t="s">
        <v>4410</v>
      </c>
      <c r="K1491" s="132" t="s">
        <v>4421</v>
      </c>
      <c r="L1491" s="132" t="s">
        <v>4422</v>
      </c>
      <c r="M1491" s="132" t="s">
        <v>4540</v>
      </c>
      <c r="N1491" s="132" t="s">
        <v>1117</v>
      </c>
      <c r="O1491" s="132" t="s">
        <v>3391</v>
      </c>
      <c r="P1491" s="132" t="s">
        <v>4541</v>
      </c>
      <c r="Q1491" s="132" t="s">
        <v>4530</v>
      </c>
      <c r="R1491" s="132" t="s">
        <v>1108</v>
      </c>
    </row>
    <row r="1492" spans="1:18" x14ac:dyDescent="0.2">
      <c r="A1492" t="s">
        <v>198</v>
      </c>
      <c r="B1492" s="141">
        <f t="shared" si="24"/>
        <v>3.6</v>
      </c>
      <c r="C1492" s="280">
        <v>45825</v>
      </c>
      <c r="D1492" s="279">
        <v>45827</v>
      </c>
      <c r="E1492" s="279">
        <v>45827</v>
      </c>
      <c r="F1492" s="132"/>
      <c r="G1492" s="132" t="s">
        <v>1108</v>
      </c>
      <c r="H1492" s="132" t="s">
        <v>373</v>
      </c>
      <c r="I1492" s="132" t="s">
        <v>1100</v>
      </c>
      <c r="J1492" s="132" t="s">
        <v>1853</v>
      </c>
      <c r="K1492" s="132" t="s">
        <v>1755</v>
      </c>
      <c r="L1492" s="132" t="s">
        <v>1962</v>
      </c>
      <c r="M1492" s="132" t="s">
        <v>4542</v>
      </c>
      <c r="N1492" s="132" t="s">
        <v>1112</v>
      </c>
      <c r="O1492" s="132" t="s">
        <v>3391</v>
      </c>
      <c r="P1492" s="132" t="s">
        <v>4543</v>
      </c>
      <c r="Q1492" s="132" t="s">
        <v>4530</v>
      </c>
      <c r="R1492" s="132" t="s">
        <v>1108</v>
      </c>
    </row>
    <row r="1493" spans="1:18" x14ac:dyDescent="0.2">
      <c r="A1493" t="s">
        <v>282</v>
      </c>
      <c r="B1493" s="141">
        <f t="shared" si="24"/>
        <v>2.14</v>
      </c>
      <c r="C1493" s="280">
        <v>45826</v>
      </c>
      <c r="D1493" s="279">
        <v>45828</v>
      </c>
      <c r="E1493" s="279">
        <v>45828</v>
      </c>
      <c r="F1493" s="132"/>
      <c r="G1493" s="132" t="s">
        <v>1108</v>
      </c>
      <c r="H1493" s="132" t="s">
        <v>373</v>
      </c>
      <c r="I1493" s="132" t="s">
        <v>1100</v>
      </c>
      <c r="J1493" s="132" t="s">
        <v>2225</v>
      </c>
      <c r="K1493" s="132" t="s">
        <v>2256</v>
      </c>
      <c r="L1493" s="132" t="s">
        <v>2257</v>
      </c>
      <c r="M1493" s="132" t="s">
        <v>4544</v>
      </c>
      <c r="N1493" s="132" t="s">
        <v>1112</v>
      </c>
      <c r="O1493" s="132" t="s">
        <v>3391</v>
      </c>
      <c r="P1493" s="132" t="s">
        <v>4545</v>
      </c>
      <c r="Q1493" s="132" t="s">
        <v>4546</v>
      </c>
      <c r="R1493" s="132" t="s">
        <v>1108</v>
      </c>
    </row>
    <row r="1494" spans="1:18" x14ac:dyDescent="0.2">
      <c r="A1494" t="s">
        <v>198</v>
      </c>
      <c r="B1494" s="141">
        <f t="shared" si="24"/>
        <v>3.6</v>
      </c>
      <c r="C1494" s="280">
        <v>45826</v>
      </c>
      <c r="D1494" s="279">
        <v>45828</v>
      </c>
      <c r="E1494" s="279">
        <v>45828</v>
      </c>
      <c r="F1494" s="132"/>
      <c r="G1494" s="132" t="s">
        <v>1108</v>
      </c>
      <c r="H1494" s="132" t="s">
        <v>373</v>
      </c>
      <c r="I1494" s="132" t="s">
        <v>1100</v>
      </c>
      <c r="J1494" s="132" t="s">
        <v>1853</v>
      </c>
      <c r="K1494" s="132" t="s">
        <v>1755</v>
      </c>
      <c r="L1494" s="132" t="s">
        <v>1962</v>
      </c>
      <c r="M1494" s="132" t="s">
        <v>4547</v>
      </c>
      <c r="N1494" s="132" t="s">
        <v>1112</v>
      </c>
      <c r="O1494" s="132" t="s">
        <v>3391</v>
      </c>
      <c r="P1494" s="132" t="s">
        <v>4548</v>
      </c>
      <c r="Q1494" s="132" t="s">
        <v>4546</v>
      </c>
      <c r="R1494" s="132" t="s">
        <v>1108</v>
      </c>
    </row>
    <row r="1495" spans="1:18" x14ac:dyDescent="0.2">
      <c r="A1495" t="s">
        <v>198</v>
      </c>
      <c r="B1495" s="141">
        <f t="shared" si="24"/>
        <v>3.62</v>
      </c>
      <c r="C1495" s="280">
        <v>45826</v>
      </c>
      <c r="D1495" s="279">
        <v>45828</v>
      </c>
      <c r="E1495" s="279">
        <v>45828</v>
      </c>
      <c r="F1495" s="132"/>
      <c r="G1495" s="132" t="s">
        <v>1108</v>
      </c>
      <c r="H1495" s="132" t="s">
        <v>373</v>
      </c>
      <c r="I1495" s="132" t="s">
        <v>1100</v>
      </c>
      <c r="J1495" s="132" t="s">
        <v>1853</v>
      </c>
      <c r="K1495" s="132" t="s">
        <v>1731</v>
      </c>
      <c r="L1495" s="132" t="s">
        <v>1854</v>
      </c>
      <c r="M1495" s="132" t="s">
        <v>4549</v>
      </c>
      <c r="N1495" s="132" t="s">
        <v>1117</v>
      </c>
      <c r="O1495" s="132" t="s">
        <v>3391</v>
      </c>
      <c r="P1495" s="132" t="s">
        <v>4550</v>
      </c>
      <c r="Q1495" s="132" t="s">
        <v>4546</v>
      </c>
      <c r="R1495" s="132" t="s">
        <v>1108</v>
      </c>
    </row>
    <row r="1496" spans="1:18" x14ac:dyDescent="0.2">
      <c r="A1496" t="s">
        <v>198</v>
      </c>
      <c r="B1496" s="141">
        <f t="shared" si="24"/>
        <v>3.62</v>
      </c>
      <c r="C1496" s="280">
        <v>45826</v>
      </c>
      <c r="D1496" s="279">
        <v>45828</v>
      </c>
      <c r="E1496" s="279">
        <v>45828</v>
      </c>
      <c r="F1496" s="132"/>
      <c r="G1496" s="132" t="s">
        <v>4531</v>
      </c>
      <c r="H1496" s="132" t="s">
        <v>373</v>
      </c>
      <c r="I1496" s="132" t="s">
        <v>1100</v>
      </c>
      <c r="J1496" s="132" t="s">
        <v>1853</v>
      </c>
      <c r="K1496" s="132" t="s">
        <v>1731</v>
      </c>
      <c r="L1496" s="132" t="s">
        <v>1854</v>
      </c>
      <c r="M1496" s="132" t="s">
        <v>4551</v>
      </c>
      <c r="N1496" s="132" t="s">
        <v>1105</v>
      </c>
      <c r="O1496" s="132" t="s">
        <v>3391</v>
      </c>
      <c r="P1496" s="132" t="s">
        <v>4552</v>
      </c>
      <c r="Q1496" s="132" t="s">
        <v>4546</v>
      </c>
      <c r="R1496" s="132" t="s">
        <v>1108</v>
      </c>
    </row>
    <row r="1497" spans="1:18" x14ac:dyDescent="0.2">
      <c r="A1497" t="s">
        <v>284</v>
      </c>
      <c r="B1497" s="141">
        <f t="shared" si="24"/>
        <v>4.09</v>
      </c>
      <c r="C1497" s="280">
        <v>45826</v>
      </c>
      <c r="D1497" s="279">
        <v>45828</v>
      </c>
      <c r="E1497" s="279">
        <v>45828</v>
      </c>
      <c r="F1497" s="132"/>
      <c r="G1497" s="132" t="s">
        <v>1108</v>
      </c>
      <c r="H1497" s="132" t="s">
        <v>373</v>
      </c>
      <c r="I1497" s="132" t="s">
        <v>1100</v>
      </c>
      <c r="J1497" s="132" t="s">
        <v>1754</v>
      </c>
      <c r="K1497" s="132" t="s">
        <v>1792</v>
      </c>
      <c r="L1497" s="132" t="s">
        <v>1793</v>
      </c>
      <c r="M1497" s="132" t="s">
        <v>4553</v>
      </c>
      <c r="N1497" s="132" t="s">
        <v>1112</v>
      </c>
      <c r="O1497" s="132" t="s">
        <v>3391</v>
      </c>
      <c r="P1497" s="132" t="s">
        <v>4554</v>
      </c>
      <c r="Q1497" s="132" t="s">
        <v>4546</v>
      </c>
      <c r="R1497" s="132" t="s">
        <v>1108</v>
      </c>
    </row>
    <row r="1498" spans="1:18" x14ac:dyDescent="0.2">
      <c r="A1498" t="s">
        <v>285</v>
      </c>
      <c r="B1498" s="141">
        <f t="shared" si="24"/>
        <v>12.450000000000001</v>
      </c>
      <c r="C1498" s="280">
        <v>45826</v>
      </c>
      <c r="D1498" s="279">
        <v>45828</v>
      </c>
      <c r="E1498" s="279">
        <v>45828</v>
      </c>
      <c r="F1498" s="132"/>
      <c r="G1498" s="132" t="s">
        <v>4555</v>
      </c>
      <c r="H1498" s="132" t="s">
        <v>373</v>
      </c>
      <c r="I1498" s="132" t="s">
        <v>1100</v>
      </c>
      <c r="J1498" s="132" t="s">
        <v>4556</v>
      </c>
      <c r="K1498" s="132" t="s">
        <v>4557</v>
      </c>
      <c r="L1498" s="132" t="s">
        <v>4558</v>
      </c>
      <c r="M1498" s="132" t="s">
        <v>4559</v>
      </c>
      <c r="N1498" s="132" t="s">
        <v>1105</v>
      </c>
      <c r="O1498" s="132" t="s">
        <v>3391</v>
      </c>
      <c r="P1498" s="132" t="s">
        <v>4560</v>
      </c>
      <c r="Q1498" s="132" t="s">
        <v>4546</v>
      </c>
      <c r="R1498" s="132" t="s">
        <v>1108</v>
      </c>
    </row>
    <row r="1499" spans="1:18" x14ac:dyDescent="0.2">
      <c r="A1499" t="s">
        <v>282</v>
      </c>
      <c r="B1499" s="141">
        <f t="shared" si="24"/>
        <v>2.14</v>
      </c>
      <c r="C1499" s="280">
        <v>45826</v>
      </c>
      <c r="D1499" s="279">
        <v>45828</v>
      </c>
      <c r="E1499" s="279">
        <v>45828</v>
      </c>
      <c r="F1499" s="132"/>
      <c r="G1499" s="132" t="s">
        <v>1108</v>
      </c>
      <c r="H1499" s="132" t="s">
        <v>373</v>
      </c>
      <c r="I1499" s="132" t="s">
        <v>1100</v>
      </c>
      <c r="J1499" s="132" t="s">
        <v>2225</v>
      </c>
      <c r="K1499" s="132" t="s">
        <v>2256</v>
      </c>
      <c r="L1499" s="132" t="s">
        <v>2257</v>
      </c>
      <c r="M1499" s="132" t="s">
        <v>4561</v>
      </c>
      <c r="N1499" s="132" t="s">
        <v>1112</v>
      </c>
      <c r="O1499" s="132" t="s">
        <v>3391</v>
      </c>
      <c r="P1499" s="132" t="s">
        <v>4562</v>
      </c>
      <c r="Q1499" s="132" t="s">
        <v>4546</v>
      </c>
      <c r="R1499" s="132" t="s">
        <v>1108</v>
      </c>
    </row>
    <row r="1500" spans="1:18" x14ac:dyDescent="0.2">
      <c r="A1500" t="s">
        <v>240</v>
      </c>
      <c r="B1500" s="141">
        <f t="shared" si="24"/>
        <v>42.86</v>
      </c>
      <c r="C1500" s="280">
        <v>45827</v>
      </c>
      <c r="D1500" s="279">
        <v>45828</v>
      </c>
      <c r="E1500" s="279">
        <v>45828</v>
      </c>
      <c r="F1500" s="132"/>
      <c r="G1500" s="132" t="s">
        <v>1910</v>
      </c>
      <c r="H1500" s="132" t="s">
        <v>373</v>
      </c>
      <c r="I1500" s="132" t="s">
        <v>1100</v>
      </c>
      <c r="J1500" s="132" t="s">
        <v>4563</v>
      </c>
      <c r="K1500" s="132" t="s">
        <v>4564</v>
      </c>
      <c r="L1500" s="132" t="s">
        <v>4565</v>
      </c>
      <c r="M1500" s="132" t="s">
        <v>4566</v>
      </c>
      <c r="N1500" s="132" t="s">
        <v>1105</v>
      </c>
      <c r="O1500" s="132" t="s">
        <v>3391</v>
      </c>
      <c r="P1500" s="132" t="s">
        <v>4567</v>
      </c>
      <c r="Q1500" s="132" t="s">
        <v>4546</v>
      </c>
      <c r="R1500" s="132" t="s">
        <v>1108</v>
      </c>
    </row>
    <row r="1501" spans="1:18" x14ac:dyDescent="0.2">
      <c r="A1501" t="s">
        <v>239</v>
      </c>
      <c r="B1501" s="141">
        <f t="shared" si="24"/>
        <v>20.05</v>
      </c>
      <c r="C1501" s="280">
        <v>45827</v>
      </c>
      <c r="D1501" s="279">
        <v>45828</v>
      </c>
      <c r="E1501" s="279">
        <v>45828</v>
      </c>
      <c r="F1501" s="132"/>
      <c r="G1501" s="132" t="s">
        <v>1108</v>
      </c>
      <c r="H1501" s="132" t="s">
        <v>373</v>
      </c>
      <c r="I1501" s="132" t="s">
        <v>1100</v>
      </c>
      <c r="J1501" s="132" t="s">
        <v>4410</v>
      </c>
      <c r="K1501" s="132" t="s">
        <v>4568</v>
      </c>
      <c r="L1501" s="132" t="s">
        <v>4569</v>
      </c>
      <c r="M1501" s="132" t="s">
        <v>4570</v>
      </c>
      <c r="N1501" s="132" t="s">
        <v>1117</v>
      </c>
      <c r="O1501" s="132" t="s">
        <v>3391</v>
      </c>
      <c r="P1501" s="132" t="s">
        <v>4571</v>
      </c>
      <c r="Q1501" s="132" t="s">
        <v>4546</v>
      </c>
      <c r="R1501" s="132" t="s">
        <v>1108</v>
      </c>
    </row>
    <row r="1502" spans="1:18" x14ac:dyDescent="0.2">
      <c r="A1502" t="s">
        <v>240</v>
      </c>
      <c r="B1502" s="141">
        <f t="shared" si="24"/>
        <v>22.12</v>
      </c>
      <c r="C1502" s="280">
        <v>45827</v>
      </c>
      <c r="D1502" s="279">
        <v>45828</v>
      </c>
      <c r="E1502" s="279">
        <v>45828</v>
      </c>
      <c r="F1502" s="132"/>
      <c r="G1502" s="132" t="s">
        <v>1108</v>
      </c>
      <c r="H1502" s="132" t="s">
        <v>373</v>
      </c>
      <c r="I1502" s="132" t="s">
        <v>1100</v>
      </c>
      <c r="J1502" s="132" t="s">
        <v>4448</v>
      </c>
      <c r="K1502" s="132" t="s">
        <v>4502</v>
      </c>
      <c r="L1502" s="132" t="s">
        <v>4503</v>
      </c>
      <c r="M1502" s="132" t="s">
        <v>4572</v>
      </c>
      <c r="N1502" s="132" t="s">
        <v>1112</v>
      </c>
      <c r="O1502" s="132" t="s">
        <v>3391</v>
      </c>
      <c r="P1502" s="132" t="s">
        <v>4573</v>
      </c>
      <c r="Q1502" s="132" t="s">
        <v>4546</v>
      </c>
      <c r="R1502" s="132" t="s">
        <v>1108</v>
      </c>
    </row>
    <row r="1503" spans="1:18" x14ac:dyDescent="0.2">
      <c r="A1503" t="s">
        <v>240</v>
      </c>
      <c r="B1503" s="141">
        <f t="shared" si="24"/>
        <v>22.26</v>
      </c>
      <c r="C1503" s="280">
        <v>45827</v>
      </c>
      <c r="D1503" s="279">
        <v>45828</v>
      </c>
      <c r="E1503" s="279">
        <v>45828</v>
      </c>
      <c r="F1503" s="132"/>
      <c r="G1503" s="132" t="s">
        <v>1108</v>
      </c>
      <c r="H1503" s="132" t="s">
        <v>373</v>
      </c>
      <c r="I1503" s="132" t="s">
        <v>1100</v>
      </c>
      <c r="J1503" s="132" t="s">
        <v>4448</v>
      </c>
      <c r="K1503" s="132" t="s">
        <v>4449</v>
      </c>
      <c r="L1503" s="132" t="s">
        <v>2911</v>
      </c>
      <c r="M1503" s="132" t="s">
        <v>4574</v>
      </c>
      <c r="N1503" s="132" t="s">
        <v>1117</v>
      </c>
      <c r="O1503" s="132" t="s">
        <v>3391</v>
      </c>
      <c r="P1503" s="281" t="s">
        <v>4575</v>
      </c>
      <c r="Q1503" s="132" t="s">
        <v>4546</v>
      </c>
      <c r="R1503" s="132" t="s">
        <v>1108</v>
      </c>
    </row>
    <row r="1504" spans="1:18" x14ac:dyDescent="0.2">
      <c r="A1504" t="s">
        <v>239</v>
      </c>
      <c r="B1504" s="141">
        <f t="shared" si="24"/>
        <v>20.170000000000002</v>
      </c>
      <c r="C1504" s="280">
        <v>45828</v>
      </c>
      <c r="D1504" s="279">
        <v>45832</v>
      </c>
      <c r="E1504" s="279">
        <v>45832</v>
      </c>
      <c r="F1504" s="132"/>
      <c r="G1504" s="132" t="s">
        <v>1108</v>
      </c>
      <c r="H1504" s="132" t="s">
        <v>373</v>
      </c>
      <c r="I1504" s="132" t="s">
        <v>1100</v>
      </c>
      <c r="J1504" s="132" t="s">
        <v>4410</v>
      </c>
      <c r="K1504" s="132" t="s">
        <v>3834</v>
      </c>
      <c r="L1504" s="132" t="s">
        <v>4411</v>
      </c>
      <c r="M1504" s="132" t="s">
        <v>4576</v>
      </c>
      <c r="N1504" s="132" t="s">
        <v>1112</v>
      </c>
      <c r="O1504" s="132" t="s">
        <v>3391</v>
      </c>
      <c r="P1504" s="132" t="s">
        <v>4577</v>
      </c>
      <c r="Q1504" s="132" t="s">
        <v>4578</v>
      </c>
      <c r="R1504" s="132" t="s">
        <v>1108</v>
      </c>
    </row>
    <row r="1505" spans="1:18" x14ac:dyDescent="0.2">
      <c r="A1505" t="s">
        <v>285</v>
      </c>
      <c r="B1505" s="141">
        <f t="shared" si="24"/>
        <v>6.08</v>
      </c>
      <c r="C1505" s="280">
        <v>45828</v>
      </c>
      <c r="D1505" s="279">
        <v>45832</v>
      </c>
      <c r="E1505" s="279">
        <v>45832</v>
      </c>
      <c r="F1505" s="132"/>
      <c r="G1505" s="132" t="s">
        <v>1108</v>
      </c>
      <c r="H1505" s="132" t="s">
        <v>373</v>
      </c>
      <c r="I1505" s="132" t="s">
        <v>1100</v>
      </c>
      <c r="J1505" s="132" t="s">
        <v>1101</v>
      </c>
      <c r="K1505" s="132" t="s">
        <v>1102</v>
      </c>
      <c r="L1505" s="132" t="s">
        <v>1103</v>
      </c>
      <c r="M1505" s="132" t="s">
        <v>4579</v>
      </c>
      <c r="N1505" s="132" t="s">
        <v>1117</v>
      </c>
      <c r="O1505" s="132" t="s">
        <v>3391</v>
      </c>
      <c r="P1505" s="132" t="s">
        <v>4580</v>
      </c>
      <c r="Q1505" s="132" t="s">
        <v>4578</v>
      </c>
      <c r="R1505" s="132" t="s">
        <v>1108</v>
      </c>
    </row>
    <row r="1506" spans="1:18" x14ac:dyDescent="0.2">
      <c r="A1506" t="s">
        <v>239</v>
      </c>
      <c r="B1506" s="141">
        <f t="shared" si="24"/>
        <v>20.3</v>
      </c>
      <c r="C1506" s="280">
        <v>45829</v>
      </c>
      <c r="D1506" s="279">
        <v>45832</v>
      </c>
      <c r="E1506" s="279">
        <v>45832</v>
      </c>
      <c r="F1506" s="132"/>
      <c r="G1506" s="132" t="s">
        <v>1108</v>
      </c>
      <c r="H1506" s="132" t="s">
        <v>373</v>
      </c>
      <c r="I1506" s="132" t="s">
        <v>1100</v>
      </c>
      <c r="J1506" s="132" t="s">
        <v>4410</v>
      </c>
      <c r="K1506" s="132" t="s">
        <v>4421</v>
      </c>
      <c r="L1506" s="132" t="s">
        <v>4422</v>
      </c>
      <c r="M1506" s="132" t="s">
        <v>4581</v>
      </c>
      <c r="N1506" s="132" t="s">
        <v>1117</v>
      </c>
      <c r="O1506" s="132" t="s">
        <v>3391</v>
      </c>
      <c r="P1506" s="132" t="s">
        <v>4582</v>
      </c>
      <c r="Q1506" s="132" t="s">
        <v>4578</v>
      </c>
      <c r="R1506" s="132" t="s">
        <v>1108</v>
      </c>
    </row>
    <row r="1507" spans="1:18" x14ac:dyDescent="0.2">
      <c r="A1507" t="s">
        <v>239</v>
      </c>
      <c r="B1507" s="141">
        <f t="shared" si="24"/>
        <v>20.170000000000002</v>
      </c>
      <c r="C1507" s="280">
        <v>45830</v>
      </c>
      <c r="D1507" s="279">
        <v>45832</v>
      </c>
      <c r="E1507" s="279">
        <v>45832</v>
      </c>
      <c r="F1507" s="132"/>
      <c r="G1507" s="132" t="s">
        <v>1108</v>
      </c>
      <c r="H1507" s="132" t="s">
        <v>373</v>
      </c>
      <c r="I1507" s="132" t="s">
        <v>1100</v>
      </c>
      <c r="J1507" s="132" t="s">
        <v>4410</v>
      </c>
      <c r="K1507" s="132" t="s">
        <v>3834</v>
      </c>
      <c r="L1507" s="132" t="s">
        <v>4411</v>
      </c>
      <c r="M1507" s="132" t="s">
        <v>4583</v>
      </c>
      <c r="N1507" s="132" t="s">
        <v>1112</v>
      </c>
      <c r="O1507" s="132" t="s">
        <v>3391</v>
      </c>
      <c r="P1507" s="132" t="s">
        <v>4584</v>
      </c>
      <c r="Q1507" s="132" t="s">
        <v>4578</v>
      </c>
      <c r="R1507" s="132" t="s">
        <v>1108</v>
      </c>
    </row>
    <row r="1508" spans="1:18" x14ac:dyDescent="0.2">
      <c r="A1508" t="s">
        <v>240</v>
      </c>
      <c r="B1508" s="141">
        <f t="shared" si="24"/>
        <v>22.26</v>
      </c>
      <c r="C1508" s="280">
        <v>45830</v>
      </c>
      <c r="D1508" s="279">
        <v>45832</v>
      </c>
      <c r="E1508" s="279">
        <v>45832</v>
      </c>
      <c r="F1508" s="132"/>
      <c r="G1508" s="132" t="s">
        <v>1108</v>
      </c>
      <c r="H1508" s="132" t="s">
        <v>373</v>
      </c>
      <c r="I1508" s="132" t="s">
        <v>1100</v>
      </c>
      <c r="J1508" s="132" t="s">
        <v>4448</v>
      </c>
      <c r="K1508" s="132" t="s">
        <v>4449</v>
      </c>
      <c r="L1508" s="132" t="s">
        <v>2911</v>
      </c>
      <c r="M1508" s="132" t="s">
        <v>4585</v>
      </c>
      <c r="N1508" s="132" t="s">
        <v>1117</v>
      </c>
      <c r="O1508" s="132" t="s">
        <v>3391</v>
      </c>
      <c r="P1508" s="132" t="s">
        <v>4586</v>
      </c>
      <c r="Q1508" s="132" t="s">
        <v>4578</v>
      </c>
      <c r="R1508" s="132" t="s">
        <v>1108</v>
      </c>
    </row>
    <row r="1509" spans="1:18" x14ac:dyDescent="0.2">
      <c r="A1509" t="s">
        <v>239</v>
      </c>
      <c r="B1509" s="141">
        <f t="shared" si="24"/>
        <v>20.3</v>
      </c>
      <c r="C1509" s="280">
        <v>45830</v>
      </c>
      <c r="D1509" s="279">
        <v>45832</v>
      </c>
      <c r="E1509" s="279">
        <v>45832</v>
      </c>
      <c r="F1509" s="132"/>
      <c r="G1509" s="132" t="s">
        <v>1108</v>
      </c>
      <c r="H1509" s="132" t="s">
        <v>373</v>
      </c>
      <c r="I1509" s="132" t="s">
        <v>1100</v>
      </c>
      <c r="J1509" s="132" t="s">
        <v>4410</v>
      </c>
      <c r="K1509" s="132" t="s">
        <v>4421</v>
      </c>
      <c r="L1509" s="132" t="s">
        <v>4422</v>
      </c>
      <c r="M1509" s="132" t="s">
        <v>4587</v>
      </c>
      <c r="N1509" s="132" t="s">
        <v>1117</v>
      </c>
      <c r="O1509" s="132" t="s">
        <v>3391</v>
      </c>
      <c r="P1509" s="132" t="s">
        <v>4588</v>
      </c>
      <c r="Q1509" s="132" t="s">
        <v>4578</v>
      </c>
      <c r="R1509" s="132" t="s">
        <v>1108</v>
      </c>
    </row>
    <row r="1510" spans="1:18" x14ac:dyDescent="0.2">
      <c r="A1510" t="s">
        <v>240</v>
      </c>
      <c r="B1510" s="141">
        <f t="shared" si="24"/>
        <v>22.26</v>
      </c>
      <c r="C1510" s="280">
        <v>45831</v>
      </c>
      <c r="D1510" s="279">
        <v>45833</v>
      </c>
      <c r="E1510" s="279">
        <v>45833</v>
      </c>
      <c r="F1510" s="132"/>
      <c r="G1510" s="132" t="s">
        <v>1108</v>
      </c>
      <c r="H1510" s="132" t="s">
        <v>373</v>
      </c>
      <c r="I1510" s="132" t="s">
        <v>1100</v>
      </c>
      <c r="J1510" s="132" t="s">
        <v>4448</v>
      </c>
      <c r="K1510" s="132" t="s">
        <v>4449</v>
      </c>
      <c r="L1510" s="132" t="s">
        <v>2911</v>
      </c>
      <c r="M1510" s="132" t="s">
        <v>4589</v>
      </c>
      <c r="N1510" s="132" t="s">
        <v>1117</v>
      </c>
      <c r="O1510" s="132" t="s">
        <v>3391</v>
      </c>
      <c r="P1510" s="132" t="s">
        <v>4590</v>
      </c>
      <c r="Q1510" s="132" t="s">
        <v>4591</v>
      </c>
      <c r="R1510" s="132" t="s">
        <v>1108</v>
      </c>
    </row>
    <row r="1511" spans="1:18" x14ac:dyDescent="0.2">
      <c r="A1511" t="s">
        <v>239</v>
      </c>
      <c r="B1511" s="141">
        <f t="shared" si="24"/>
        <v>20.170000000000002</v>
      </c>
      <c r="C1511" s="280">
        <v>45831</v>
      </c>
      <c r="D1511" s="279">
        <v>45833</v>
      </c>
      <c r="E1511" s="279">
        <v>45833</v>
      </c>
      <c r="F1511" s="132"/>
      <c r="G1511" s="132" t="s">
        <v>1108</v>
      </c>
      <c r="H1511" s="132" t="s">
        <v>373</v>
      </c>
      <c r="I1511" s="132" t="s">
        <v>1100</v>
      </c>
      <c r="J1511" s="132" t="s">
        <v>4410</v>
      </c>
      <c r="K1511" s="132" t="s">
        <v>3834</v>
      </c>
      <c r="L1511" s="132" t="s">
        <v>4411</v>
      </c>
      <c r="M1511" s="132" t="s">
        <v>4592</v>
      </c>
      <c r="N1511" s="132" t="s">
        <v>1112</v>
      </c>
      <c r="O1511" s="132" t="s">
        <v>3391</v>
      </c>
      <c r="P1511" s="132" t="s">
        <v>4593</v>
      </c>
      <c r="Q1511" s="132" t="s">
        <v>4591</v>
      </c>
      <c r="R1511" s="132" t="s">
        <v>1108</v>
      </c>
    </row>
    <row r="1512" spans="1:18" x14ac:dyDescent="0.2">
      <c r="A1512" t="s">
        <v>239</v>
      </c>
      <c r="B1512" s="141">
        <f t="shared" si="24"/>
        <v>20.170000000000002</v>
      </c>
      <c r="C1512" s="280">
        <v>45831</v>
      </c>
      <c r="D1512" s="279">
        <v>45833</v>
      </c>
      <c r="E1512" s="279">
        <v>45833</v>
      </c>
      <c r="F1512" s="132"/>
      <c r="G1512" s="132" t="s">
        <v>1108</v>
      </c>
      <c r="H1512" s="132" t="s">
        <v>373</v>
      </c>
      <c r="I1512" s="132" t="s">
        <v>1100</v>
      </c>
      <c r="J1512" s="132" t="s">
        <v>4410</v>
      </c>
      <c r="K1512" s="132" t="s">
        <v>3834</v>
      </c>
      <c r="L1512" s="132" t="s">
        <v>4411</v>
      </c>
      <c r="M1512" s="132" t="s">
        <v>4594</v>
      </c>
      <c r="N1512" s="132" t="s">
        <v>1112</v>
      </c>
      <c r="O1512" s="132" t="s">
        <v>3391</v>
      </c>
      <c r="P1512" s="132" t="s">
        <v>4595</v>
      </c>
      <c r="Q1512" s="132" t="s">
        <v>4591</v>
      </c>
      <c r="R1512" s="132" t="s">
        <v>1108</v>
      </c>
    </row>
    <row r="1513" spans="1:18" x14ac:dyDescent="0.2">
      <c r="A1513" t="s">
        <v>239</v>
      </c>
      <c r="B1513" s="141">
        <f t="shared" si="24"/>
        <v>20.170000000000002</v>
      </c>
      <c r="C1513" s="280">
        <v>45831</v>
      </c>
      <c r="D1513" s="279">
        <v>45833</v>
      </c>
      <c r="E1513" s="279">
        <v>45833</v>
      </c>
      <c r="F1513" s="132"/>
      <c r="G1513" s="132" t="s">
        <v>1108</v>
      </c>
      <c r="H1513" s="132" t="s">
        <v>373</v>
      </c>
      <c r="I1513" s="132" t="s">
        <v>1100</v>
      </c>
      <c r="J1513" s="132" t="s">
        <v>4410</v>
      </c>
      <c r="K1513" s="132" t="s">
        <v>3834</v>
      </c>
      <c r="L1513" s="132" t="s">
        <v>4411</v>
      </c>
      <c r="M1513" s="132" t="s">
        <v>4596</v>
      </c>
      <c r="N1513" s="132" t="s">
        <v>1112</v>
      </c>
      <c r="O1513" s="132" t="s">
        <v>3391</v>
      </c>
      <c r="P1513" s="132" t="s">
        <v>4597</v>
      </c>
      <c r="Q1513" s="132" t="s">
        <v>4591</v>
      </c>
      <c r="R1513" s="132" t="s">
        <v>1108</v>
      </c>
    </row>
    <row r="1514" spans="1:18" x14ac:dyDescent="0.2">
      <c r="A1514" t="s">
        <v>239</v>
      </c>
      <c r="B1514" s="141">
        <f t="shared" si="24"/>
        <v>20.170000000000002</v>
      </c>
      <c r="C1514" s="280">
        <v>45831</v>
      </c>
      <c r="D1514" s="279">
        <v>45833</v>
      </c>
      <c r="E1514" s="279">
        <v>45833</v>
      </c>
      <c r="F1514" s="132"/>
      <c r="G1514" s="132" t="s">
        <v>1108</v>
      </c>
      <c r="H1514" s="132" t="s">
        <v>373</v>
      </c>
      <c r="I1514" s="132" t="s">
        <v>1100</v>
      </c>
      <c r="J1514" s="132" t="s">
        <v>4410</v>
      </c>
      <c r="K1514" s="132" t="s">
        <v>3834</v>
      </c>
      <c r="L1514" s="132" t="s">
        <v>4411</v>
      </c>
      <c r="M1514" s="132" t="s">
        <v>4598</v>
      </c>
      <c r="N1514" s="132" t="s">
        <v>1112</v>
      </c>
      <c r="O1514" s="132" t="s">
        <v>3391</v>
      </c>
      <c r="P1514" s="132" t="s">
        <v>4599</v>
      </c>
      <c r="Q1514" s="132" t="s">
        <v>4591</v>
      </c>
      <c r="R1514" s="132" t="s">
        <v>1108</v>
      </c>
    </row>
    <row r="1515" spans="1:18" x14ac:dyDescent="0.2">
      <c r="A1515" t="s">
        <v>239</v>
      </c>
      <c r="B1515" s="141">
        <f t="shared" si="24"/>
        <v>20.3</v>
      </c>
      <c r="C1515" s="280">
        <v>45831</v>
      </c>
      <c r="D1515" s="279">
        <v>45833</v>
      </c>
      <c r="E1515" s="279">
        <v>45833</v>
      </c>
      <c r="F1515" s="132"/>
      <c r="G1515" s="132" t="s">
        <v>1108</v>
      </c>
      <c r="H1515" s="132" t="s">
        <v>373</v>
      </c>
      <c r="I1515" s="132" t="s">
        <v>1100</v>
      </c>
      <c r="J1515" s="132" t="s">
        <v>4410</v>
      </c>
      <c r="K1515" s="132" t="s">
        <v>4421</v>
      </c>
      <c r="L1515" s="132" t="s">
        <v>4422</v>
      </c>
      <c r="M1515" s="132" t="s">
        <v>4600</v>
      </c>
      <c r="N1515" s="132" t="s">
        <v>1117</v>
      </c>
      <c r="O1515" s="132" t="s">
        <v>3391</v>
      </c>
      <c r="P1515" s="132" t="s">
        <v>4601</v>
      </c>
      <c r="Q1515" s="132" t="s">
        <v>4591</v>
      </c>
      <c r="R1515" s="132" t="s">
        <v>1108</v>
      </c>
    </row>
    <row r="1516" spans="1:18" x14ac:dyDescent="0.2">
      <c r="A1516" t="s">
        <v>239</v>
      </c>
      <c r="B1516" s="141">
        <f t="shared" si="24"/>
        <v>20.3</v>
      </c>
      <c r="C1516" s="280">
        <v>45831</v>
      </c>
      <c r="D1516" s="279">
        <v>45833</v>
      </c>
      <c r="E1516" s="279">
        <v>45833</v>
      </c>
      <c r="F1516" s="132"/>
      <c r="G1516" s="132" t="s">
        <v>1999</v>
      </c>
      <c r="H1516" s="132" t="s">
        <v>373</v>
      </c>
      <c r="I1516" s="132" t="s">
        <v>1100</v>
      </c>
      <c r="J1516" s="132" t="s">
        <v>4410</v>
      </c>
      <c r="K1516" s="132" t="s">
        <v>4421</v>
      </c>
      <c r="L1516" s="132" t="s">
        <v>4422</v>
      </c>
      <c r="M1516" s="132" t="s">
        <v>4602</v>
      </c>
      <c r="N1516" s="132" t="s">
        <v>1105</v>
      </c>
      <c r="O1516" s="132" t="s">
        <v>3391</v>
      </c>
      <c r="P1516" s="132" t="s">
        <v>4603</v>
      </c>
      <c r="Q1516" s="132" t="s">
        <v>4591</v>
      </c>
      <c r="R1516" s="132" t="s">
        <v>1108</v>
      </c>
    </row>
    <row r="1517" spans="1:18" x14ac:dyDescent="0.2">
      <c r="A1517" t="s">
        <v>239</v>
      </c>
      <c r="B1517" s="141">
        <f t="shared" si="24"/>
        <v>20.170000000000002</v>
      </c>
      <c r="C1517" s="280">
        <v>45831</v>
      </c>
      <c r="D1517" s="279">
        <v>45833</v>
      </c>
      <c r="E1517" s="279">
        <v>45833</v>
      </c>
      <c r="F1517" s="132"/>
      <c r="G1517" s="132" t="s">
        <v>1108</v>
      </c>
      <c r="H1517" s="132" t="s">
        <v>373</v>
      </c>
      <c r="I1517" s="132" t="s">
        <v>1100</v>
      </c>
      <c r="J1517" s="132" t="s">
        <v>4410</v>
      </c>
      <c r="K1517" s="132" t="s">
        <v>3834</v>
      </c>
      <c r="L1517" s="132" t="s">
        <v>4411</v>
      </c>
      <c r="M1517" s="132" t="s">
        <v>4604</v>
      </c>
      <c r="N1517" s="132" t="s">
        <v>1112</v>
      </c>
      <c r="O1517" s="132" t="s">
        <v>3391</v>
      </c>
      <c r="P1517" s="132" t="s">
        <v>4605</v>
      </c>
      <c r="Q1517" s="132" t="s">
        <v>4591</v>
      </c>
      <c r="R1517" s="132" t="s">
        <v>1108</v>
      </c>
    </row>
    <row r="1518" spans="1:18" x14ac:dyDescent="0.2">
      <c r="A1518" t="s">
        <v>239</v>
      </c>
      <c r="B1518" s="141">
        <f t="shared" si="24"/>
        <v>20.170000000000002</v>
      </c>
      <c r="C1518" s="280">
        <v>45831</v>
      </c>
      <c r="D1518" s="279">
        <v>45833</v>
      </c>
      <c r="E1518" s="279">
        <v>45833</v>
      </c>
      <c r="F1518" s="132"/>
      <c r="G1518" s="132" t="s">
        <v>1108</v>
      </c>
      <c r="H1518" s="132" t="s">
        <v>373</v>
      </c>
      <c r="I1518" s="132" t="s">
        <v>1100</v>
      </c>
      <c r="J1518" s="132" t="s">
        <v>4410</v>
      </c>
      <c r="K1518" s="132" t="s">
        <v>3834</v>
      </c>
      <c r="L1518" s="132" t="s">
        <v>4411</v>
      </c>
      <c r="M1518" s="132" t="s">
        <v>4606</v>
      </c>
      <c r="N1518" s="132" t="s">
        <v>1112</v>
      </c>
      <c r="O1518" s="132" t="s">
        <v>3391</v>
      </c>
      <c r="P1518" s="132" t="s">
        <v>4607</v>
      </c>
      <c r="Q1518" s="132" t="s">
        <v>4591</v>
      </c>
      <c r="R1518" s="132" t="s">
        <v>1108</v>
      </c>
    </row>
    <row r="1519" spans="1:18" x14ac:dyDescent="0.2">
      <c r="A1519" t="s">
        <v>239</v>
      </c>
      <c r="B1519" s="141">
        <f t="shared" si="24"/>
        <v>20.170000000000002</v>
      </c>
      <c r="C1519" s="280">
        <v>45832</v>
      </c>
      <c r="D1519" s="279">
        <v>45833</v>
      </c>
      <c r="E1519" s="279">
        <v>45833</v>
      </c>
      <c r="F1519" s="132"/>
      <c r="G1519" s="132" t="s">
        <v>1108</v>
      </c>
      <c r="H1519" s="132" t="s">
        <v>373</v>
      </c>
      <c r="I1519" s="132" t="s">
        <v>1100</v>
      </c>
      <c r="J1519" s="132" t="s">
        <v>4410</v>
      </c>
      <c r="K1519" s="132" t="s">
        <v>3834</v>
      </c>
      <c r="L1519" s="132" t="s">
        <v>4411</v>
      </c>
      <c r="M1519" s="132" t="s">
        <v>4608</v>
      </c>
      <c r="N1519" s="132" t="s">
        <v>1112</v>
      </c>
      <c r="O1519" s="132" t="s">
        <v>3391</v>
      </c>
      <c r="P1519" s="132" t="s">
        <v>4609</v>
      </c>
      <c r="Q1519" s="132" t="s">
        <v>4591</v>
      </c>
      <c r="R1519" s="132" t="s">
        <v>1108</v>
      </c>
    </row>
    <row r="1520" spans="1:18" x14ac:dyDescent="0.2">
      <c r="A1520" t="s">
        <v>239</v>
      </c>
      <c r="B1520" s="141">
        <f t="shared" si="24"/>
        <v>20.3</v>
      </c>
      <c r="C1520" s="280">
        <v>45832</v>
      </c>
      <c r="D1520" s="279">
        <v>45833</v>
      </c>
      <c r="E1520" s="279">
        <v>45833</v>
      </c>
      <c r="F1520" s="132"/>
      <c r="G1520" s="132" t="s">
        <v>1108</v>
      </c>
      <c r="H1520" s="132" t="s">
        <v>373</v>
      </c>
      <c r="I1520" s="132" t="s">
        <v>1100</v>
      </c>
      <c r="J1520" s="132" t="s">
        <v>4410</v>
      </c>
      <c r="K1520" s="132" t="s">
        <v>4421</v>
      </c>
      <c r="L1520" s="132" t="s">
        <v>4422</v>
      </c>
      <c r="M1520" s="132" t="s">
        <v>4610</v>
      </c>
      <c r="N1520" s="132" t="s">
        <v>1117</v>
      </c>
      <c r="O1520" s="132" t="s">
        <v>3391</v>
      </c>
      <c r="P1520" s="132" t="s">
        <v>4611</v>
      </c>
      <c r="Q1520" s="132" t="s">
        <v>4591</v>
      </c>
      <c r="R1520" s="132" t="s">
        <v>1108</v>
      </c>
    </row>
    <row r="1521" spans="1:18" x14ac:dyDescent="0.2">
      <c r="A1521" t="s">
        <v>239</v>
      </c>
      <c r="B1521" s="141">
        <f t="shared" si="24"/>
        <v>20.3</v>
      </c>
      <c r="C1521" s="280">
        <v>45832</v>
      </c>
      <c r="D1521" s="279">
        <v>45833</v>
      </c>
      <c r="E1521" s="279">
        <v>45833</v>
      </c>
      <c r="F1521" s="132"/>
      <c r="G1521" s="132" t="s">
        <v>1863</v>
      </c>
      <c r="H1521" s="132" t="s">
        <v>373</v>
      </c>
      <c r="I1521" s="132" t="s">
        <v>1100</v>
      </c>
      <c r="J1521" s="132" t="s">
        <v>4410</v>
      </c>
      <c r="K1521" s="132" t="s">
        <v>4421</v>
      </c>
      <c r="L1521" s="132" t="s">
        <v>4422</v>
      </c>
      <c r="M1521" s="132" t="s">
        <v>4612</v>
      </c>
      <c r="N1521" s="132" t="s">
        <v>1105</v>
      </c>
      <c r="O1521" s="132" t="s">
        <v>3391</v>
      </c>
      <c r="P1521" s="132" t="s">
        <v>4613</v>
      </c>
      <c r="Q1521" s="132" t="s">
        <v>4591</v>
      </c>
      <c r="R1521" s="132" t="s">
        <v>1108</v>
      </c>
    </row>
    <row r="1522" spans="1:18" x14ac:dyDescent="0.2">
      <c r="A1522" t="s">
        <v>239</v>
      </c>
      <c r="B1522" s="141">
        <f t="shared" si="24"/>
        <v>20.3</v>
      </c>
      <c r="C1522" s="280">
        <v>45832</v>
      </c>
      <c r="F1522" s="132"/>
      <c r="G1522" s="132" t="s">
        <v>4410</v>
      </c>
      <c r="I1522" s="132" t="s">
        <v>4614</v>
      </c>
      <c r="J1522" s="132" t="s">
        <v>4410</v>
      </c>
      <c r="K1522" s="132" t="s">
        <v>4421</v>
      </c>
      <c r="L1522" s="132" t="s">
        <v>4422</v>
      </c>
      <c r="P1522" s="132" t="s">
        <v>4615</v>
      </c>
      <c r="Q1522" s="132" t="s">
        <v>4616</v>
      </c>
    </row>
    <row r="1523" spans="1:18" x14ac:dyDescent="0.2">
      <c r="A1523" t="s">
        <v>239</v>
      </c>
      <c r="B1523" s="141">
        <f t="shared" si="24"/>
        <v>20.170000000000002</v>
      </c>
      <c r="C1523" s="280">
        <v>45832</v>
      </c>
      <c r="F1523" s="132"/>
      <c r="G1523" s="132" t="s">
        <v>4410</v>
      </c>
      <c r="I1523" s="132" t="s">
        <v>4614</v>
      </c>
      <c r="J1523" s="132" t="s">
        <v>4410</v>
      </c>
      <c r="K1523" s="132" t="s">
        <v>3834</v>
      </c>
      <c r="L1523" s="132" t="s">
        <v>4411</v>
      </c>
      <c r="O1523" s="284"/>
      <c r="P1523" s="132" t="s">
        <v>4617</v>
      </c>
      <c r="Q1523" s="132" t="s">
        <v>4616</v>
      </c>
    </row>
    <row r="1524" spans="1:18" x14ac:dyDescent="0.2">
      <c r="A1524" t="s">
        <v>239</v>
      </c>
      <c r="B1524" s="141">
        <f t="shared" si="24"/>
        <v>20.170000000000002</v>
      </c>
      <c r="C1524" s="280">
        <v>45832</v>
      </c>
      <c r="F1524" s="132"/>
      <c r="G1524" s="132" t="s">
        <v>4410</v>
      </c>
      <c r="I1524" s="132" t="s">
        <v>4614</v>
      </c>
      <c r="J1524" s="132" t="s">
        <v>4410</v>
      </c>
      <c r="K1524" s="132" t="s">
        <v>3834</v>
      </c>
      <c r="L1524" s="132" t="s">
        <v>4411</v>
      </c>
      <c r="P1524" s="132" t="s">
        <v>4612</v>
      </c>
      <c r="Q1524" s="132" t="s">
        <v>4616</v>
      </c>
    </row>
    <row r="1525" spans="1:18" x14ac:dyDescent="0.2">
      <c r="A1525" t="s">
        <v>240</v>
      </c>
      <c r="B1525" s="141">
        <f>_xlfn.NUMBERVALUE(L1525)*0.01</f>
        <v>22.12</v>
      </c>
      <c r="C1525" s="280">
        <v>45832</v>
      </c>
      <c r="F1525" s="132"/>
      <c r="G1525" s="132" t="s">
        <v>4448</v>
      </c>
      <c r="I1525" s="132" t="s">
        <v>4614</v>
      </c>
      <c r="J1525" s="132" t="s">
        <v>4448</v>
      </c>
      <c r="K1525" s="132" t="s">
        <v>4502</v>
      </c>
      <c r="L1525" s="132" t="s">
        <v>4503</v>
      </c>
      <c r="P1525" s="132" t="s">
        <v>4618</v>
      </c>
      <c r="Q1525" s="132" t="s">
        <v>4616</v>
      </c>
    </row>
    <row r="1526" spans="1:18" x14ac:dyDescent="0.2">
      <c r="A1526" t="s">
        <v>240</v>
      </c>
      <c r="B1526" s="141">
        <f t="shared" si="24"/>
        <v>22.12</v>
      </c>
      <c r="C1526" s="280">
        <v>45832</v>
      </c>
      <c r="F1526" s="132"/>
      <c r="G1526" s="132" t="s">
        <v>4448</v>
      </c>
      <c r="I1526" s="132" t="s">
        <v>4614</v>
      </c>
      <c r="J1526" s="132" t="s">
        <v>4448</v>
      </c>
      <c r="K1526" s="132" t="s">
        <v>4502</v>
      </c>
      <c r="L1526" s="132" t="s">
        <v>4503</v>
      </c>
      <c r="P1526" s="132" t="s">
        <v>4619</v>
      </c>
      <c r="Q1526" s="132" t="s">
        <v>4616</v>
      </c>
    </row>
    <row r="1527" spans="1:18" x14ac:dyDescent="0.2">
      <c r="A1527" t="s">
        <v>239</v>
      </c>
      <c r="B1527" s="141">
        <f>_xlfn.NUMBERVALUE(L1527)*0.01</f>
        <v>20.170000000000002</v>
      </c>
      <c r="C1527" s="280">
        <v>45832</v>
      </c>
      <c r="F1527" s="132"/>
      <c r="G1527" s="132" t="s">
        <v>4410</v>
      </c>
      <c r="I1527" s="132" t="s">
        <v>4614</v>
      </c>
      <c r="J1527" s="132" t="s">
        <v>4410</v>
      </c>
      <c r="K1527" s="132" t="s">
        <v>3834</v>
      </c>
      <c r="L1527" s="132" t="s">
        <v>4411</v>
      </c>
      <c r="P1527" s="132" t="s">
        <v>4610</v>
      </c>
      <c r="Q1527" s="132" t="s">
        <v>4616</v>
      </c>
    </row>
    <row r="1528" spans="1:18" x14ac:dyDescent="0.2">
      <c r="A1528" t="s">
        <v>81</v>
      </c>
      <c r="B1528" s="141">
        <f t="shared" ref="B1528:B1590" si="25">_xlfn.NUMBERVALUE(L1528)*0.01</f>
        <v>56.25</v>
      </c>
      <c r="C1528" s="280">
        <v>45847</v>
      </c>
      <c r="F1528" s="132"/>
      <c r="G1528" s="132" t="s">
        <v>1261</v>
      </c>
      <c r="I1528" s="132" t="s">
        <v>4614</v>
      </c>
      <c r="J1528" s="132" t="s">
        <v>1261</v>
      </c>
      <c r="K1528" s="132" t="s">
        <v>1262</v>
      </c>
      <c r="L1528" s="132" t="s">
        <v>1263</v>
      </c>
      <c r="P1528" s="132" t="s">
        <v>4620</v>
      </c>
      <c r="Q1528" s="132" t="s">
        <v>4616</v>
      </c>
    </row>
    <row r="1529" spans="1:18" x14ac:dyDescent="0.2">
      <c r="A1529" t="s">
        <v>81</v>
      </c>
      <c r="B1529" s="141">
        <f t="shared" si="25"/>
        <v>56.25</v>
      </c>
      <c r="C1529" s="280">
        <v>45872</v>
      </c>
      <c r="F1529" s="132"/>
      <c r="G1529" s="132" t="s">
        <v>4614</v>
      </c>
      <c r="H1529" s="132" t="s">
        <v>4621</v>
      </c>
      <c r="I1529" s="132" t="s">
        <v>4614</v>
      </c>
      <c r="J1529" s="132" t="s">
        <v>1261</v>
      </c>
      <c r="K1529" s="141" t="s">
        <v>1262</v>
      </c>
      <c r="L1529" s="132" t="s">
        <v>1263</v>
      </c>
      <c r="P1529" s="132" t="s">
        <v>4621</v>
      </c>
      <c r="Q1529" s="132" t="s">
        <v>4616</v>
      </c>
    </row>
    <row r="1530" spans="1:18" x14ac:dyDescent="0.2">
      <c r="A1530" t="s">
        <v>81</v>
      </c>
      <c r="B1530" s="141">
        <f t="shared" si="25"/>
        <v>58.2</v>
      </c>
      <c r="C1530" s="280">
        <v>45877</v>
      </c>
      <c r="F1530" s="132"/>
      <c r="G1530" s="132" t="s">
        <v>4614</v>
      </c>
      <c r="H1530" s="132" t="s">
        <v>4622</v>
      </c>
      <c r="I1530" s="132" t="s">
        <v>4614</v>
      </c>
      <c r="J1530" s="132" t="s">
        <v>4623</v>
      </c>
      <c r="K1530" s="141" t="s">
        <v>4624</v>
      </c>
      <c r="L1530" s="132" t="s">
        <v>4625</v>
      </c>
      <c r="P1530" s="132" t="s">
        <v>4622</v>
      </c>
      <c r="Q1530" s="132" t="s">
        <v>4616</v>
      </c>
    </row>
    <row r="1531" spans="1:18" x14ac:dyDescent="0.2">
      <c r="A1531" t="s">
        <v>331</v>
      </c>
      <c r="B1531" s="141">
        <f t="shared" si="25"/>
        <v>21.28</v>
      </c>
      <c r="C1531" s="280">
        <v>45879</v>
      </c>
      <c r="D1531" s="282"/>
      <c r="E1531" s="283"/>
      <c r="F1531" s="132"/>
      <c r="I1531" s="132" t="s">
        <v>4614</v>
      </c>
      <c r="J1531" s="132" t="s">
        <v>4627</v>
      </c>
      <c r="K1531" s="141" t="s">
        <v>4628</v>
      </c>
      <c r="L1531" s="132" t="s">
        <v>4629</v>
      </c>
      <c r="M1531" s="132" t="s">
        <v>4630</v>
      </c>
      <c r="N1531" s="132" t="s">
        <v>4631</v>
      </c>
      <c r="O1531" s="132" t="s">
        <v>4632</v>
      </c>
      <c r="P1531" s="132" t="s">
        <v>4633</v>
      </c>
      <c r="Q1531" s="132" t="s">
        <v>4616</v>
      </c>
    </row>
    <row r="1532" spans="1:18" x14ac:dyDescent="0.2">
      <c r="A1532" t="s">
        <v>331</v>
      </c>
      <c r="B1532" s="141">
        <f t="shared" si="25"/>
        <v>21.150000000000002</v>
      </c>
      <c r="C1532" s="280">
        <v>45879</v>
      </c>
      <c r="D1532" s="282"/>
      <c r="E1532" s="283"/>
      <c r="F1532" s="132"/>
      <c r="I1532" s="132" t="s">
        <v>4614</v>
      </c>
      <c r="J1532" s="132" t="s">
        <v>4627</v>
      </c>
      <c r="K1532" s="141" t="s">
        <v>2463</v>
      </c>
      <c r="L1532" s="132" t="s">
        <v>4634</v>
      </c>
      <c r="P1532" s="132" t="s">
        <v>4635</v>
      </c>
      <c r="Q1532" s="132" t="s">
        <v>4616</v>
      </c>
    </row>
    <row r="1533" spans="1:18" x14ac:dyDescent="0.2">
      <c r="A1533" t="s">
        <v>331</v>
      </c>
      <c r="B1533" s="141">
        <f t="shared" si="25"/>
        <v>21.28</v>
      </c>
      <c r="C1533" s="280">
        <v>45879</v>
      </c>
      <c r="D1533" s="282"/>
      <c r="E1533" s="283"/>
      <c r="F1533" s="132"/>
      <c r="I1533" s="132" t="s">
        <v>4614</v>
      </c>
      <c r="J1533" s="132" t="s">
        <v>4627</v>
      </c>
      <c r="K1533" s="141" t="s">
        <v>4628</v>
      </c>
      <c r="L1533" s="132" t="s">
        <v>4629</v>
      </c>
      <c r="P1533" s="132" t="s">
        <v>4636</v>
      </c>
      <c r="Q1533" s="132" t="s">
        <v>4616</v>
      </c>
    </row>
    <row r="1534" spans="1:18" x14ac:dyDescent="0.2">
      <c r="A1534" t="s">
        <v>331</v>
      </c>
      <c r="B1534" s="141">
        <f t="shared" si="25"/>
        <v>21.28</v>
      </c>
      <c r="C1534" s="280">
        <v>45879</v>
      </c>
      <c r="D1534" s="282"/>
      <c r="E1534" s="283"/>
      <c r="F1534" s="132"/>
      <c r="I1534" s="132" t="s">
        <v>4614</v>
      </c>
      <c r="J1534" s="132" t="s">
        <v>4627</v>
      </c>
      <c r="K1534" s="141" t="s">
        <v>4628</v>
      </c>
      <c r="L1534" s="132" t="s">
        <v>4629</v>
      </c>
      <c r="P1534" s="132" t="s">
        <v>4638</v>
      </c>
      <c r="Q1534" s="132" t="s">
        <v>4616</v>
      </c>
    </row>
    <row r="1535" spans="1:18" x14ac:dyDescent="0.2">
      <c r="A1535" t="s">
        <v>331</v>
      </c>
      <c r="B1535" s="141">
        <f t="shared" si="25"/>
        <v>21.28</v>
      </c>
      <c r="C1535" s="280">
        <v>45879</v>
      </c>
      <c r="D1535" s="282"/>
      <c r="E1535" s="283"/>
      <c r="F1535" s="132"/>
      <c r="I1535" s="132" t="s">
        <v>4614</v>
      </c>
      <c r="J1535" s="132" t="s">
        <v>4627</v>
      </c>
      <c r="K1535" s="141" t="s">
        <v>4628</v>
      </c>
      <c r="L1535" s="132" t="s">
        <v>4629</v>
      </c>
      <c r="P1535" s="132" t="s">
        <v>4639</v>
      </c>
      <c r="Q1535" s="132" t="s">
        <v>4616</v>
      </c>
    </row>
    <row r="1536" spans="1:18" x14ac:dyDescent="0.2">
      <c r="A1536" t="s">
        <v>331</v>
      </c>
      <c r="B1536" s="141">
        <f t="shared" si="25"/>
        <v>21.28</v>
      </c>
      <c r="C1536" s="280">
        <v>45879</v>
      </c>
      <c r="D1536" s="282"/>
      <c r="E1536" s="283"/>
      <c r="F1536" s="132"/>
      <c r="I1536" s="132" t="s">
        <v>4614</v>
      </c>
      <c r="J1536" s="132" t="s">
        <v>4627</v>
      </c>
      <c r="K1536" s="141" t="s">
        <v>4628</v>
      </c>
      <c r="L1536" s="132" t="s">
        <v>4629</v>
      </c>
      <c r="P1536" s="132" t="s">
        <v>4640</v>
      </c>
      <c r="Q1536" s="132" t="s">
        <v>4616</v>
      </c>
    </row>
    <row r="1537" spans="1:17" x14ac:dyDescent="0.2">
      <c r="A1537" t="s">
        <v>331</v>
      </c>
      <c r="B1537" s="141">
        <f t="shared" si="25"/>
        <v>21.150000000000002</v>
      </c>
      <c r="C1537" s="280">
        <v>45879</v>
      </c>
      <c r="D1537" s="282"/>
      <c r="E1537" s="283"/>
      <c r="F1537" s="132"/>
      <c r="I1537" s="132" t="s">
        <v>4614</v>
      </c>
      <c r="J1537" s="132" t="s">
        <v>4627</v>
      </c>
      <c r="K1537" s="141" t="s">
        <v>2463</v>
      </c>
      <c r="L1537" s="132" t="s">
        <v>4634</v>
      </c>
      <c r="P1537" s="132" t="s">
        <v>4641</v>
      </c>
      <c r="Q1537" s="132" t="s">
        <v>4616</v>
      </c>
    </row>
    <row r="1538" spans="1:17" x14ac:dyDescent="0.2">
      <c r="A1538" t="s">
        <v>331</v>
      </c>
      <c r="B1538" s="141">
        <f t="shared" si="25"/>
        <v>21.150000000000002</v>
      </c>
      <c r="C1538" s="280">
        <v>45879</v>
      </c>
      <c r="D1538" s="282"/>
      <c r="E1538" s="283"/>
      <c r="F1538" s="132"/>
      <c r="I1538" s="132" t="s">
        <v>4614</v>
      </c>
      <c r="J1538" s="132" t="s">
        <v>4627</v>
      </c>
      <c r="K1538" s="141" t="s">
        <v>2463</v>
      </c>
      <c r="L1538" s="132" t="s">
        <v>4634</v>
      </c>
      <c r="P1538" s="132" t="s">
        <v>4642</v>
      </c>
      <c r="Q1538" s="132" t="s">
        <v>4616</v>
      </c>
    </row>
    <row r="1539" spans="1:17" x14ac:dyDescent="0.2">
      <c r="A1539" t="s">
        <v>331</v>
      </c>
      <c r="B1539" s="141">
        <f t="shared" si="25"/>
        <v>21.28</v>
      </c>
      <c r="C1539" s="280">
        <v>45879</v>
      </c>
      <c r="D1539" s="282"/>
      <c r="E1539" s="283"/>
      <c r="F1539" s="132"/>
      <c r="I1539" s="132" t="s">
        <v>4614</v>
      </c>
      <c r="J1539" s="132" t="s">
        <v>4627</v>
      </c>
      <c r="K1539" s="141" t="s">
        <v>4628</v>
      </c>
      <c r="L1539" s="132" t="s">
        <v>4629</v>
      </c>
      <c r="P1539" s="132" t="s">
        <v>4643</v>
      </c>
      <c r="Q1539" s="132" t="s">
        <v>4616</v>
      </c>
    </row>
    <row r="1540" spans="1:17" x14ac:dyDescent="0.2">
      <c r="A1540" t="s">
        <v>331</v>
      </c>
      <c r="B1540" s="141">
        <f t="shared" si="25"/>
        <v>21.28</v>
      </c>
      <c r="C1540" s="280">
        <v>45879</v>
      </c>
      <c r="D1540" s="282"/>
      <c r="E1540" s="283"/>
      <c r="F1540" s="132"/>
      <c r="I1540" s="132" t="s">
        <v>4614</v>
      </c>
      <c r="J1540" s="132" t="s">
        <v>4627</v>
      </c>
      <c r="K1540" s="141" t="s">
        <v>4628</v>
      </c>
      <c r="L1540" s="132" t="s">
        <v>4629</v>
      </c>
      <c r="P1540" s="132" t="s">
        <v>4644</v>
      </c>
      <c r="Q1540" s="132" t="s">
        <v>4616</v>
      </c>
    </row>
    <row r="1541" spans="1:17" x14ac:dyDescent="0.2">
      <c r="A1541" t="s">
        <v>331</v>
      </c>
      <c r="B1541" s="141">
        <f t="shared" si="25"/>
        <v>21.28</v>
      </c>
      <c r="C1541" s="280">
        <v>45879</v>
      </c>
      <c r="D1541" s="282"/>
      <c r="E1541" s="283"/>
      <c r="F1541" s="132"/>
      <c r="I1541" s="132" t="s">
        <v>4614</v>
      </c>
      <c r="J1541" s="132" t="s">
        <v>4627</v>
      </c>
      <c r="K1541" s="141" t="s">
        <v>4628</v>
      </c>
      <c r="L1541" s="132" t="s">
        <v>4629</v>
      </c>
      <c r="P1541" s="132" t="s">
        <v>4645</v>
      </c>
      <c r="Q1541" s="132" t="s">
        <v>4616</v>
      </c>
    </row>
    <row r="1542" spans="1:17" x14ac:dyDescent="0.2">
      <c r="A1542" t="s">
        <v>331</v>
      </c>
      <c r="B1542" s="141">
        <f t="shared" si="25"/>
        <v>21.150000000000002</v>
      </c>
      <c r="C1542" s="280">
        <v>45879</v>
      </c>
      <c r="D1542" s="282"/>
      <c r="E1542" s="283"/>
      <c r="F1542" s="132"/>
      <c r="I1542" s="132" t="s">
        <v>4614</v>
      </c>
      <c r="J1542" s="132" t="s">
        <v>4627</v>
      </c>
      <c r="K1542" s="141" t="s">
        <v>2463</v>
      </c>
      <c r="L1542" s="132" t="s">
        <v>4634</v>
      </c>
      <c r="P1542" s="132" t="s">
        <v>4646</v>
      </c>
      <c r="Q1542" s="132" t="s">
        <v>4616</v>
      </c>
    </row>
    <row r="1543" spans="1:17" x14ac:dyDescent="0.2">
      <c r="A1543" t="s">
        <v>331</v>
      </c>
      <c r="B1543" s="141">
        <f t="shared" si="25"/>
        <v>21.28</v>
      </c>
      <c r="C1543" s="280">
        <v>45879</v>
      </c>
      <c r="D1543" s="282"/>
      <c r="E1543" s="283"/>
      <c r="F1543" s="132"/>
      <c r="I1543" s="132" t="s">
        <v>4614</v>
      </c>
      <c r="J1543" s="132" t="s">
        <v>4627</v>
      </c>
      <c r="K1543" s="141" t="s">
        <v>4628</v>
      </c>
      <c r="L1543" s="132" t="s">
        <v>4629</v>
      </c>
      <c r="P1543" s="132" t="s">
        <v>4648</v>
      </c>
      <c r="Q1543" s="132" t="s">
        <v>4616</v>
      </c>
    </row>
    <row r="1544" spans="1:17" x14ac:dyDescent="0.2">
      <c r="A1544" t="s">
        <v>331</v>
      </c>
      <c r="B1544" s="141">
        <f t="shared" si="25"/>
        <v>21.150000000000002</v>
      </c>
      <c r="C1544" s="280">
        <v>45879</v>
      </c>
      <c r="D1544" s="282"/>
      <c r="E1544" s="283"/>
      <c r="F1544" s="132"/>
      <c r="I1544" s="132" t="s">
        <v>4614</v>
      </c>
      <c r="J1544" s="132" t="s">
        <v>4627</v>
      </c>
      <c r="K1544" s="141" t="s">
        <v>2463</v>
      </c>
      <c r="L1544" s="132" t="s">
        <v>4634</v>
      </c>
      <c r="P1544" s="132" t="s">
        <v>4649</v>
      </c>
      <c r="Q1544" s="132" t="s">
        <v>4616</v>
      </c>
    </row>
    <row r="1545" spans="1:17" x14ac:dyDescent="0.2">
      <c r="A1545" t="s">
        <v>331</v>
      </c>
      <c r="B1545" s="141">
        <f t="shared" si="25"/>
        <v>21.28</v>
      </c>
      <c r="C1545" s="280">
        <v>45879</v>
      </c>
      <c r="D1545" s="282"/>
      <c r="E1545" s="283"/>
      <c r="F1545" s="132"/>
      <c r="I1545" s="132" t="s">
        <v>4614</v>
      </c>
      <c r="J1545" s="132" t="s">
        <v>4627</v>
      </c>
      <c r="K1545" s="141" t="s">
        <v>4628</v>
      </c>
      <c r="L1545" s="132" t="s">
        <v>4629</v>
      </c>
      <c r="P1545" s="132" t="s">
        <v>4650</v>
      </c>
      <c r="Q1545" s="132" t="s">
        <v>4616</v>
      </c>
    </row>
    <row r="1546" spans="1:17" x14ac:dyDescent="0.2">
      <c r="A1546" t="s">
        <v>331</v>
      </c>
      <c r="B1546" s="141">
        <f t="shared" si="25"/>
        <v>21.28</v>
      </c>
      <c r="C1546" s="280">
        <v>45879</v>
      </c>
      <c r="D1546" s="282"/>
      <c r="E1546" s="283"/>
      <c r="F1546" s="132"/>
      <c r="I1546" s="132" t="s">
        <v>4614</v>
      </c>
      <c r="J1546" s="132" t="s">
        <v>4627</v>
      </c>
      <c r="K1546" s="141" t="s">
        <v>4628</v>
      </c>
      <c r="L1546" s="132" t="s">
        <v>4629</v>
      </c>
      <c r="P1546" s="132" t="s">
        <v>4652</v>
      </c>
      <c r="Q1546" s="132" t="s">
        <v>4616</v>
      </c>
    </row>
    <row r="1547" spans="1:17" x14ac:dyDescent="0.2">
      <c r="A1547" t="s">
        <v>331</v>
      </c>
      <c r="B1547" s="141">
        <f t="shared" si="25"/>
        <v>21.150000000000002</v>
      </c>
      <c r="C1547" s="280">
        <v>45879</v>
      </c>
      <c r="D1547" s="282"/>
      <c r="E1547" s="283"/>
      <c r="F1547" s="132"/>
      <c r="I1547" s="132" t="s">
        <v>4614</v>
      </c>
      <c r="J1547" s="132" t="s">
        <v>4627</v>
      </c>
      <c r="K1547" s="141" t="s">
        <v>2463</v>
      </c>
      <c r="L1547" s="132" t="s">
        <v>4634</v>
      </c>
      <c r="P1547" s="132" t="s">
        <v>4653</v>
      </c>
      <c r="Q1547" s="132" t="s">
        <v>4616</v>
      </c>
    </row>
    <row r="1548" spans="1:17" x14ac:dyDescent="0.2">
      <c r="A1548" t="s">
        <v>331</v>
      </c>
      <c r="B1548" s="141">
        <f t="shared" si="25"/>
        <v>21.28</v>
      </c>
      <c r="C1548" s="280">
        <v>45879</v>
      </c>
      <c r="D1548" s="282"/>
      <c r="E1548" s="283"/>
      <c r="F1548" s="132"/>
      <c r="I1548" s="132" t="s">
        <v>4614</v>
      </c>
      <c r="J1548" s="132" t="s">
        <v>4627</v>
      </c>
      <c r="K1548" s="141" t="s">
        <v>4628</v>
      </c>
      <c r="L1548" s="132" t="s">
        <v>4629</v>
      </c>
      <c r="P1548" s="132" t="s">
        <v>4654</v>
      </c>
      <c r="Q1548" s="132" t="s">
        <v>4616</v>
      </c>
    </row>
    <row r="1549" spans="1:17" x14ac:dyDescent="0.2">
      <c r="A1549" t="s">
        <v>331</v>
      </c>
      <c r="B1549" s="141">
        <f t="shared" si="25"/>
        <v>21.28</v>
      </c>
      <c r="C1549" s="280">
        <v>45879</v>
      </c>
      <c r="D1549" s="282"/>
      <c r="E1549" s="283"/>
      <c r="F1549" s="132"/>
      <c r="I1549" s="132" t="s">
        <v>4614</v>
      </c>
      <c r="J1549" s="132" t="s">
        <v>4627</v>
      </c>
      <c r="K1549" s="141" t="s">
        <v>4628</v>
      </c>
      <c r="L1549" s="132" t="s">
        <v>4629</v>
      </c>
      <c r="P1549" s="132" t="s">
        <v>4655</v>
      </c>
      <c r="Q1549" s="132" t="s">
        <v>4616</v>
      </c>
    </row>
    <row r="1550" spans="1:17" x14ac:dyDescent="0.2">
      <c r="A1550" t="s">
        <v>331</v>
      </c>
      <c r="B1550" s="141">
        <f t="shared" si="25"/>
        <v>21.28</v>
      </c>
      <c r="C1550" s="280">
        <v>45879</v>
      </c>
      <c r="D1550" s="282"/>
      <c r="E1550" s="283"/>
      <c r="F1550" s="132"/>
      <c r="I1550" s="132" t="s">
        <v>4614</v>
      </c>
      <c r="J1550" s="132" t="s">
        <v>4627</v>
      </c>
      <c r="K1550" s="141" t="s">
        <v>4628</v>
      </c>
      <c r="L1550" s="132" t="s">
        <v>4629</v>
      </c>
      <c r="P1550" s="132" t="s">
        <v>4656</v>
      </c>
      <c r="Q1550" s="132" t="s">
        <v>4616</v>
      </c>
    </row>
    <row r="1551" spans="1:17" x14ac:dyDescent="0.2">
      <c r="A1551" t="s">
        <v>331</v>
      </c>
      <c r="B1551" s="141">
        <f t="shared" si="25"/>
        <v>21.150000000000002</v>
      </c>
      <c r="C1551" s="280">
        <v>45879</v>
      </c>
      <c r="D1551" s="282"/>
      <c r="E1551" s="283"/>
      <c r="F1551" s="132"/>
      <c r="I1551" s="132" t="s">
        <v>4614</v>
      </c>
      <c r="J1551" s="132" t="s">
        <v>4627</v>
      </c>
      <c r="K1551" s="141" t="s">
        <v>2463</v>
      </c>
      <c r="L1551" s="132" t="s">
        <v>4634</v>
      </c>
      <c r="M1551" s="284"/>
      <c r="P1551" s="132" t="s">
        <v>4657</v>
      </c>
      <c r="Q1551" s="132" t="s">
        <v>4616</v>
      </c>
    </row>
    <row r="1552" spans="1:17" x14ac:dyDescent="0.2">
      <c r="A1552" t="s">
        <v>331</v>
      </c>
      <c r="B1552" s="141">
        <f t="shared" si="25"/>
        <v>21.28</v>
      </c>
      <c r="C1552" s="280">
        <v>45879</v>
      </c>
      <c r="D1552" s="282"/>
      <c r="E1552" s="283"/>
      <c r="F1552" s="132"/>
      <c r="I1552" s="132" t="s">
        <v>4614</v>
      </c>
      <c r="J1552" s="132" t="s">
        <v>4627</v>
      </c>
      <c r="K1552" s="141" t="s">
        <v>4628</v>
      </c>
      <c r="L1552" s="132" t="s">
        <v>4629</v>
      </c>
      <c r="P1552" s="132" t="s">
        <v>4659</v>
      </c>
      <c r="Q1552" s="132" t="s">
        <v>4616</v>
      </c>
    </row>
    <row r="1553" spans="1:17" x14ac:dyDescent="0.2">
      <c r="A1553" t="s">
        <v>331</v>
      </c>
      <c r="B1553" s="141">
        <f t="shared" si="25"/>
        <v>21.150000000000002</v>
      </c>
      <c r="C1553" s="280">
        <v>45879</v>
      </c>
      <c r="D1553" s="282"/>
      <c r="E1553" s="283"/>
      <c r="F1553" s="132"/>
      <c r="I1553" s="132" t="s">
        <v>4614</v>
      </c>
      <c r="J1553" s="132" t="s">
        <v>4627</v>
      </c>
      <c r="K1553" s="141" t="s">
        <v>2463</v>
      </c>
      <c r="L1553" s="132" t="s">
        <v>4634</v>
      </c>
      <c r="P1553" s="132" t="s">
        <v>4660</v>
      </c>
      <c r="Q1553" s="132" t="s">
        <v>4616</v>
      </c>
    </row>
    <row r="1554" spans="1:17" x14ac:dyDescent="0.2">
      <c r="A1554" t="s">
        <v>331</v>
      </c>
      <c r="B1554" s="141">
        <f t="shared" si="25"/>
        <v>21.28</v>
      </c>
      <c r="C1554" s="280">
        <v>45879</v>
      </c>
      <c r="D1554" s="282"/>
      <c r="E1554" s="283"/>
      <c r="F1554" s="132"/>
      <c r="I1554" s="132" t="s">
        <v>4614</v>
      </c>
      <c r="J1554" s="132" t="s">
        <v>4627</v>
      </c>
      <c r="K1554" s="141" t="s">
        <v>4628</v>
      </c>
      <c r="L1554" s="132" t="s">
        <v>4629</v>
      </c>
      <c r="P1554" s="132" t="s">
        <v>4661</v>
      </c>
      <c r="Q1554" s="132" t="s">
        <v>4616</v>
      </c>
    </row>
    <row r="1555" spans="1:17" x14ac:dyDescent="0.2">
      <c r="A1555" t="s">
        <v>331</v>
      </c>
      <c r="B1555" s="141">
        <f t="shared" si="25"/>
        <v>21.28</v>
      </c>
      <c r="C1555" s="280">
        <v>45879</v>
      </c>
      <c r="D1555" s="282"/>
      <c r="E1555" s="283"/>
      <c r="F1555" s="132"/>
      <c r="I1555" s="132" t="s">
        <v>4614</v>
      </c>
      <c r="J1555" s="132" t="s">
        <v>4627</v>
      </c>
      <c r="K1555" s="141" t="s">
        <v>4628</v>
      </c>
      <c r="L1555" s="132" t="s">
        <v>4629</v>
      </c>
      <c r="P1555" s="132" t="s">
        <v>4663</v>
      </c>
      <c r="Q1555" s="132" t="s">
        <v>4616</v>
      </c>
    </row>
    <row r="1556" spans="1:17" x14ac:dyDescent="0.2">
      <c r="A1556" t="s">
        <v>331</v>
      </c>
      <c r="B1556" s="141">
        <f t="shared" si="25"/>
        <v>21.28</v>
      </c>
      <c r="C1556" s="280">
        <v>45879</v>
      </c>
      <c r="D1556" s="282"/>
      <c r="E1556" s="283"/>
      <c r="F1556" s="132"/>
      <c r="I1556" s="132" t="s">
        <v>4614</v>
      </c>
      <c r="J1556" s="132" t="s">
        <v>4627</v>
      </c>
      <c r="K1556" s="141" t="s">
        <v>4628</v>
      </c>
      <c r="L1556" s="132" t="s">
        <v>4629</v>
      </c>
      <c r="P1556" s="132" t="s">
        <v>4664</v>
      </c>
      <c r="Q1556" s="132" t="s">
        <v>4616</v>
      </c>
    </row>
    <row r="1557" spans="1:17" x14ac:dyDescent="0.2">
      <c r="A1557" t="s">
        <v>331</v>
      </c>
      <c r="B1557" s="141">
        <f t="shared" si="25"/>
        <v>21.150000000000002</v>
      </c>
      <c r="C1557" s="280">
        <v>45879</v>
      </c>
      <c r="D1557" s="282"/>
      <c r="E1557" s="283"/>
      <c r="F1557" s="132"/>
      <c r="I1557" s="132" t="s">
        <v>4614</v>
      </c>
      <c r="J1557" s="132" t="s">
        <v>4627</v>
      </c>
      <c r="K1557" s="141" t="s">
        <v>2463</v>
      </c>
      <c r="L1557" s="132" t="s">
        <v>4634</v>
      </c>
      <c r="P1557" s="132" t="s">
        <v>4665</v>
      </c>
      <c r="Q1557" s="132" t="s">
        <v>4616</v>
      </c>
    </row>
    <row r="1558" spans="1:17" x14ac:dyDescent="0.2">
      <c r="A1558" t="s">
        <v>331</v>
      </c>
      <c r="B1558" s="141">
        <f t="shared" si="25"/>
        <v>21.28</v>
      </c>
      <c r="C1558" s="280">
        <v>45879</v>
      </c>
      <c r="D1558" s="282"/>
      <c r="E1558" s="283"/>
      <c r="F1558" s="132"/>
      <c r="I1558" s="132" t="s">
        <v>4614</v>
      </c>
      <c r="J1558" s="132" t="s">
        <v>4627</v>
      </c>
      <c r="K1558" s="141" t="s">
        <v>4628</v>
      </c>
      <c r="L1558" s="132" t="s">
        <v>4629</v>
      </c>
      <c r="P1558" s="132" t="s">
        <v>4666</v>
      </c>
      <c r="Q1558" s="132" t="s">
        <v>4616</v>
      </c>
    </row>
    <row r="1559" spans="1:17" x14ac:dyDescent="0.2">
      <c r="A1559" t="s">
        <v>331</v>
      </c>
      <c r="B1559" s="141">
        <f t="shared" si="25"/>
        <v>21.28</v>
      </c>
      <c r="C1559" s="280">
        <v>45879</v>
      </c>
      <c r="D1559" s="282"/>
      <c r="E1559" s="283"/>
      <c r="F1559" s="132"/>
      <c r="I1559" s="132" t="s">
        <v>4614</v>
      </c>
      <c r="J1559" s="132" t="s">
        <v>4627</v>
      </c>
      <c r="K1559" s="141" t="s">
        <v>4628</v>
      </c>
      <c r="L1559" s="132" t="s">
        <v>4629</v>
      </c>
      <c r="P1559" s="132" t="s">
        <v>4668</v>
      </c>
      <c r="Q1559" s="132" t="s">
        <v>4616</v>
      </c>
    </row>
    <row r="1560" spans="1:17" x14ac:dyDescent="0.2">
      <c r="A1560" t="s">
        <v>331</v>
      </c>
      <c r="B1560" s="141">
        <f t="shared" si="25"/>
        <v>21.150000000000002</v>
      </c>
      <c r="C1560" s="280">
        <v>45879</v>
      </c>
      <c r="D1560" s="282"/>
      <c r="E1560" s="283"/>
      <c r="F1560" s="132"/>
      <c r="I1560" s="132" t="s">
        <v>4614</v>
      </c>
      <c r="J1560" s="132" t="s">
        <v>4627</v>
      </c>
      <c r="K1560" s="141" t="s">
        <v>2463</v>
      </c>
      <c r="L1560" s="132" t="s">
        <v>4634</v>
      </c>
      <c r="P1560" s="132" t="s">
        <v>4669</v>
      </c>
      <c r="Q1560" s="132" t="s">
        <v>4616</v>
      </c>
    </row>
    <row r="1561" spans="1:17" x14ac:dyDescent="0.2">
      <c r="A1561" t="s">
        <v>331</v>
      </c>
      <c r="B1561" s="141">
        <f t="shared" si="25"/>
        <v>21.28</v>
      </c>
      <c r="C1561" s="280">
        <v>45879</v>
      </c>
      <c r="D1561" s="282"/>
      <c r="E1561" s="283"/>
      <c r="F1561" s="132"/>
      <c r="I1561" s="132" t="s">
        <v>4614</v>
      </c>
      <c r="J1561" s="132" t="s">
        <v>4627</v>
      </c>
      <c r="K1561" s="141" t="s">
        <v>4628</v>
      </c>
      <c r="L1561" s="132" t="s">
        <v>4629</v>
      </c>
      <c r="P1561" s="132" t="s">
        <v>4671</v>
      </c>
      <c r="Q1561" s="132" t="s">
        <v>4616</v>
      </c>
    </row>
    <row r="1562" spans="1:17" x14ac:dyDescent="0.2">
      <c r="A1562" t="s">
        <v>81</v>
      </c>
      <c r="B1562" s="141">
        <f t="shared" si="25"/>
        <v>58.56</v>
      </c>
      <c r="C1562" s="280">
        <v>45879</v>
      </c>
      <c r="D1562" s="282"/>
      <c r="E1562" s="283"/>
      <c r="I1562" s="132" t="s">
        <v>4614</v>
      </c>
      <c r="J1562" s="132" t="s">
        <v>4623</v>
      </c>
      <c r="K1562" s="141" t="s">
        <v>4672</v>
      </c>
      <c r="L1562" s="132" t="s">
        <v>4673</v>
      </c>
      <c r="P1562" s="132" t="s">
        <v>4674</v>
      </c>
      <c r="Q1562" s="132" t="s">
        <v>4616</v>
      </c>
    </row>
    <row r="1563" spans="1:17" x14ac:dyDescent="0.2">
      <c r="A1563" t="s">
        <v>331</v>
      </c>
      <c r="B1563" s="141">
        <f t="shared" si="25"/>
        <v>21.28</v>
      </c>
      <c r="C1563" s="280">
        <v>45879</v>
      </c>
      <c r="D1563" s="282"/>
      <c r="E1563" s="283"/>
      <c r="F1563" s="132"/>
      <c r="I1563" s="132" t="s">
        <v>4614</v>
      </c>
      <c r="J1563" s="132" t="s">
        <v>4627</v>
      </c>
      <c r="K1563" s="141" t="s">
        <v>4628</v>
      </c>
      <c r="L1563" s="132" t="s">
        <v>4629</v>
      </c>
      <c r="P1563" s="132" t="s">
        <v>4676</v>
      </c>
      <c r="Q1563" s="132" t="s">
        <v>4616</v>
      </c>
    </row>
    <row r="1564" spans="1:17" x14ac:dyDescent="0.2">
      <c r="A1564" t="s">
        <v>331</v>
      </c>
      <c r="B1564" s="141">
        <f t="shared" si="25"/>
        <v>21.28</v>
      </c>
      <c r="C1564" s="280">
        <v>45879</v>
      </c>
      <c r="D1564" s="282"/>
      <c r="E1564" s="283"/>
      <c r="F1564" s="132"/>
      <c r="I1564" s="132" t="s">
        <v>4614</v>
      </c>
      <c r="J1564" s="132" t="s">
        <v>4627</v>
      </c>
      <c r="K1564" s="141" t="s">
        <v>4628</v>
      </c>
      <c r="L1564" s="132" t="s">
        <v>4629</v>
      </c>
      <c r="P1564" s="132" t="s">
        <v>4677</v>
      </c>
      <c r="Q1564" s="132" t="s">
        <v>4616</v>
      </c>
    </row>
    <row r="1565" spans="1:17" x14ac:dyDescent="0.2">
      <c r="A1565" t="s">
        <v>331</v>
      </c>
      <c r="B1565" s="141">
        <f t="shared" si="25"/>
        <v>21.150000000000002</v>
      </c>
      <c r="C1565" s="280">
        <v>45879</v>
      </c>
      <c r="D1565" s="282"/>
      <c r="E1565" s="283"/>
      <c r="F1565" s="132"/>
      <c r="I1565" s="132" t="s">
        <v>4614</v>
      </c>
      <c r="J1565" s="132" t="s">
        <v>4627</v>
      </c>
      <c r="K1565" s="141" t="s">
        <v>2463</v>
      </c>
      <c r="L1565" s="132" t="s">
        <v>4634</v>
      </c>
      <c r="P1565" s="132" t="s">
        <v>4678</v>
      </c>
      <c r="Q1565" s="132" t="s">
        <v>4616</v>
      </c>
    </row>
    <row r="1566" spans="1:17" x14ac:dyDescent="0.2">
      <c r="A1566" t="s">
        <v>331</v>
      </c>
      <c r="B1566" s="141">
        <f t="shared" si="25"/>
        <v>21.28</v>
      </c>
      <c r="C1566" s="280">
        <v>45879</v>
      </c>
      <c r="D1566" s="282"/>
      <c r="E1566" s="283"/>
      <c r="F1566" s="132"/>
      <c r="I1566" s="132" t="s">
        <v>4614</v>
      </c>
      <c r="J1566" s="132" t="s">
        <v>4627</v>
      </c>
      <c r="K1566" s="141" t="s">
        <v>4628</v>
      </c>
      <c r="L1566" s="132" t="s">
        <v>4629</v>
      </c>
      <c r="P1566" s="132" t="s">
        <v>4679</v>
      </c>
      <c r="Q1566" s="132" t="s">
        <v>4616</v>
      </c>
    </row>
    <row r="1567" spans="1:17" x14ac:dyDescent="0.2">
      <c r="A1567" t="s">
        <v>331</v>
      </c>
      <c r="B1567" s="141">
        <f t="shared" si="25"/>
        <v>21.28</v>
      </c>
      <c r="C1567" s="280">
        <v>45879</v>
      </c>
      <c r="D1567" s="282"/>
      <c r="E1567" s="283"/>
      <c r="F1567" s="132"/>
      <c r="I1567" s="132" t="s">
        <v>4614</v>
      </c>
      <c r="J1567" s="132" t="s">
        <v>4627</v>
      </c>
      <c r="K1567" s="141" t="s">
        <v>4628</v>
      </c>
      <c r="L1567" s="132" t="s">
        <v>4629</v>
      </c>
      <c r="P1567" s="132" t="s">
        <v>4681</v>
      </c>
      <c r="Q1567" s="132" t="s">
        <v>4616</v>
      </c>
    </row>
    <row r="1568" spans="1:17" x14ac:dyDescent="0.2">
      <c r="A1568" t="s">
        <v>331</v>
      </c>
      <c r="B1568" s="141">
        <f t="shared" si="25"/>
        <v>21.150000000000002</v>
      </c>
      <c r="C1568" s="280">
        <v>45879</v>
      </c>
      <c r="D1568" s="282"/>
      <c r="E1568" s="283"/>
      <c r="F1568" s="132"/>
      <c r="I1568" s="132" t="s">
        <v>4614</v>
      </c>
      <c r="J1568" s="132" t="s">
        <v>4627</v>
      </c>
      <c r="K1568" s="141" t="s">
        <v>2463</v>
      </c>
      <c r="L1568" s="132" t="s">
        <v>4634</v>
      </c>
      <c r="P1568" s="132" t="s">
        <v>4682</v>
      </c>
      <c r="Q1568" s="132" t="s">
        <v>4616</v>
      </c>
    </row>
    <row r="1569" spans="1:17" x14ac:dyDescent="0.2">
      <c r="A1569" t="s">
        <v>331</v>
      </c>
      <c r="B1569" s="141">
        <f t="shared" si="25"/>
        <v>21.28</v>
      </c>
      <c r="C1569" s="280">
        <v>45879</v>
      </c>
      <c r="D1569" s="282"/>
      <c r="E1569" s="283"/>
      <c r="F1569" s="132"/>
      <c r="I1569" s="132" t="s">
        <v>4614</v>
      </c>
      <c r="J1569" s="132" t="s">
        <v>4627</v>
      </c>
      <c r="K1569" s="141" t="s">
        <v>4628</v>
      </c>
      <c r="L1569" s="132" t="s">
        <v>4629</v>
      </c>
      <c r="P1569" s="132" t="s">
        <v>4684</v>
      </c>
      <c r="Q1569" s="132" t="s">
        <v>4616</v>
      </c>
    </row>
    <row r="1570" spans="1:17" x14ac:dyDescent="0.2">
      <c r="A1570" t="s">
        <v>331</v>
      </c>
      <c r="B1570" s="141">
        <f t="shared" si="25"/>
        <v>21.28</v>
      </c>
      <c r="C1570" s="280">
        <v>45879</v>
      </c>
      <c r="D1570" s="282"/>
      <c r="E1570" s="283"/>
      <c r="F1570" s="132"/>
      <c r="I1570" s="132" t="s">
        <v>4614</v>
      </c>
      <c r="J1570" s="132" t="s">
        <v>4627</v>
      </c>
      <c r="K1570" s="141" t="s">
        <v>4628</v>
      </c>
      <c r="L1570" s="132" t="s">
        <v>4629</v>
      </c>
      <c r="P1570" s="132" t="s">
        <v>4685</v>
      </c>
      <c r="Q1570" s="132" t="s">
        <v>4616</v>
      </c>
    </row>
    <row r="1571" spans="1:17" x14ac:dyDescent="0.2">
      <c r="A1571" t="s">
        <v>331</v>
      </c>
      <c r="B1571" s="141">
        <f t="shared" si="25"/>
        <v>21.28</v>
      </c>
      <c r="C1571" s="280">
        <v>45879</v>
      </c>
      <c r="D1571" s="282"/>
      <c r="E1571" s="283"/>
      <c r="F1571" s="132"/>
      <c r="I1571" s="132" t="s">
        <v>4614</v>
      </c>
      <c r="J1571" s="132" t="s">
        <v>4627</v>
      </c>
      <c r="K1571" s="141" t="s">
        <v>4628</v>
      </c>
      <c r="L1571" s="132" t="s">
        <v>4629</v>
      </c>
      <c r="P1571" s="132" t="s">
        <v>4686</v>
      </c>
      <c r="Q1571" s="132" t="s">
        <v>4616</v>
      </c>
    </row>
    <row r="1572" spans="1:17" x14ac:dyDescent="0.2">
      <c r="A1572" t="s">
        <v>331</v>
      </c>
      <c r="B1572" s="141">
        <f t="shared" si="25"/>
        <v>21.28</v>
      </c>
      <c r="C1572" s="280">
        <v>45880</v>
      </c>
      <c r="D1572" s="282"/>
      <c r="E1572" s="283"/>
      <c r="F1572" s="132"/>
      <c r="I1572" s="132" t="s">
        <v>4614</v>
      </c>
      <c r="J1572" s="132" t="s">
        <v>4627</v>
      </c>
      <c r="K1572" s="141" t="s">
        <v>4628</v>
      </c>
      <c r="L1572" s="132" t="s">
        <v>4629</v>
      </c>
      <c r="P1572" s="132" t="s">
        <v>4687</v>
      </c>
      <c r="Q1572" s="132" t="s">
        <v>4616</v>
      </c>
    </row>
    <row r="1573" spans="1:17" x14ac:dyDescent="0.2">
      <c r="A1573" t="s">
        <v>331</v>
      </c>
      <c r="B1573" s="141">
        <f t="shared" si="25"/>
        <v>21.28</v>
      </c>
      <c r="C1573" s="280">
        <v>45880</v>
      </c>
      <c r="D1573" s="282"/>
      <c r="E1573" s="283"/>
      <c r="F1573" s="132"/>
      <c r="I1573" s="132" t="s">
        <v>4614</v>
      </c>
      <c r="J1573" s="132" t="s">
        <v>4627</v>
      </c>
      <c r="K1573" s="141" t="s">
        <v>4628</v>
      </c>
      <c r="L1573" s="132" t="s">
        <v>4629</v>
      </c>
      <c r="P1573" s="132" t="s">
        <v>4689</v>
      </c>
      <c r="Q1573" s="132" t="s">
        <v>4616</v>
      </c>
    </row>
    <row r="1574" spans="1:17" x14ac:dyDescent="0.2">
      <c r="A1574" t="s">
        <v>331</v>
      </c>
      <c r="B1574" s="141">
        <f t="shared" si="25"/>
        <v>21.28</v>
      </c>
      <c r="C1574" s="280">
        <v>45880</v>
      </c>
      <c r="D1574" s="282"/>
      <c r="E1574" s="283"/>
      <c r="F1574" s="132"/>
      <c r="I1574" s="132" t="s">
        <v>4614</v>
      </c>
      <c r="J1574" s="132" t="s">
        <v>4627</v>
      </c>
      <c r="K1574" s="141" t="s">
        <v>4628</v>
      </c>
      <c r="L1574" s="132" t="s">
        <v>4629</v>
      </c>
      <c r="P1574" s="132" t="s">
        <v>4690</v>
      </c>
      <c r="Q1574" s="132" t="s">
        <v>4616</v>
      </c>
    </row>
    <row r="1575" spans="1:17" x14ac:dyDescent="0.2">
      <c r="A1575" t="s">
        <v>331</v>
      </c>
      <c r="B1575" s="141">
        <f>_xlfn.NUMBERVALUE(L1575)*0.01</f>
        <v>58.2</v>
      </c>
      <c r="C1575" s="280">
        <v>45880</v>
      </c>
      <c r="D1575" s="282"/>
      <c r="E1575" s="283"/>
      <c r="F1575" s="132"/>
      <c r="I1575" s="132" t="s">
        <v>4614</v>
      </c>
      <c r="J1575" s="132" t="s">
        <v>4623</v>
      </c>
      <c r="K1575" s="141" t="s">
        <v>4624</v>
      </c>
      <c r="L1575" s="132" t="s">
        <v>4625</v>
      </c>
      <c r="P1575" s="132" t="s">
        <v>4691</v>
      </c>
      <c r="Q1575" s="132" t="s">
        <v>4616</v>
      </c>
    </row>
    <row r="1576" spans="1:17" x14ac:dyDescent="0.2">
      <c r="A1576" t="s">
        <v>331</v>
      </c>
      <c r="B1576" s="141">
        <f t="shared" si="25"/>
        <v>21.28</v>
      </c>
      <c r="C1576" s="280">
        <v>45880</v>
      </c>
      <c r="D1576" s="282"/>
      <c r="E1576" s="283"/>
      <c r="F1576" s="132"/>
      <c r="I1576" s="132" t="s">
        <v>4614</v>
      </c>
      <c r="J1576" s="132" t="s">
        <v>4627</v>
      </c>
      <c r="K1576" s="141" t="s">
        <v>4628</v>
      </c>
      <c r="L1576" s="132" t="s">
        <v>4629</v>
      </c>
      <c r="P1576" s="132" t="s">
        <v>4692</v>
      </c>
      <c r="Q1576" s="132" t="s">
        <v>4616</v>
      </c>
    </row>
    <row r="1577" spans="1:17" x14ac:dyDescent="0.2">
      <c r="A1577" t="s">
        <v>331</v>
      </c>
      <c r="B1577" s="141">
        <f t="shared" si="25"/>
        <v>21.28</v>
      </c>
      <c r="C1577" s="280">
        <v>45880</v>
      </c>
      <c r="D1577" s="282"/>
      <c r="E1577" s="283"/>
      <c r="F1577" s="132"/>
      <c r="I1577" s="132" t="s">
        <v>4614</v>
      </c>
      <c r="J1577" s="132" t="s">
        <v>4627</v>
      </c>
      <c r="K1577" s="141" t="s">
        <v>4628</v>
      </c>
      <c r="L1577" s="132" t="s">
        <v>4629</v>
      </c>
      <c r="P1577" s="132" t="s">
        <v>4693</v>
      </c>
      <c r="Q1577" s="132" t="s">
        <v>4616</v>
      </c>
    </row>
    <row r="1578" spans="1:17" x14ac:dyDescent="0.2">
      <c r="A1578" t="s">
        <v>331</v>
      </c>
      <c r="B1578" s="141">
        <f t="shared" si="25"/>
        <v>21.28</v>
      </c>
      <c r="C1578" s="280">
        <v>45880</v>
      </c>
      <c r="D1578" s="282"/>
      <c r="E1578" s="283"/>
      <c r="F1578" s="132"/>
      <c r="I1578" s="132" t="s">
        <v>4614</v>
      </c>
      <c r="J1578" s="132" t="s">
        <v>4627</v>
      </c>
      <c r="K1578" s="141" t="s">
        <v>4628</v>
      </c>
      <c r="L1578" s="132" t="s">
        <v>4629</v>
      </c>
      <c r="P1578" s="132" t="s">
        <v>4694</v>
      </c>
      <c r="Q1578" s="132" t="s">
        <v>4616</v>
      </c>
    </row>
    <row r="1579" spans="1:17" x14ac:dyDescent="0.2">
      <c r="A1579" t="s">
        <v>331</v>
      </c>
      <c r="B1579" s="141">
        <f t="shared" si="25"/>
        <v>21.28</v>
      </c>
      <c r="C1579" s="280">
        <v>45880</v>
      </c>
      <c r="D1579" s="282"/>
      <c r="E1579" s="283"/>
      <c r="F1579" s="132"/>
      <c r="I1579" s="132" t="s">
        <v>4614</v>
      </c>
      <c r="J1579" s="132" t="s">
        <v>4627</v>
      </c>
      <c r="K1579" s="141" t="s">
        <v>4628</v>
      </c>
      <c r="L1579" s="132" t="s">
        <v>4629</v>
      </c>
      <c r="P1579" s="132" t="s">
        <v>4695</v>
      </c>
      <c r="Q1579" s="132" t="s">
        <v>4616</v>
      </c>
    </row>
    <row r="1580" spans="1:17" x14ac:dyDescent="0.2">
      <c r="A1580" t="s">
        <v>331</v>
      </c>
      <c r="B1580" s="141">
        <f t="shared" si="25"/>
        <v>21.28</v>
      </c>
      <c r="C1580" s="280">
        <v>45880</v>
      </c>
      <c r="D1580" s="282"/>
      <c r="E1580" s="283"/>
      <c r="F1580" s="132"/>
      <c r="I1580" s="132" t="s">
        <v>4614</v>
      </c>
      <c r="J1580" s="132" t="s">
        <v>4627</v>
      </c>
      <c r="K1580" s="141" t="s">
        <v>4628</v>
      </c>
      <c r="L1580" s="132" t="s">
        <v>4629</v>
      </c>
      <c r="P1580" s="132" t="s">
        <v>4697</v>
      </c>
      <c r="Q1580" s="132" t="s">
        <v>4616</v>
      </c>
    </row>
    <row r="1581" spans="1:17" x14ac:dyDescent="0.2">
      <c r="A1581" t="s">
        <v>331</v>
      </c>
      <c r="B1581" s="141">
        <f t="shared" si="25"/>
        <v>21.28</v>
      </c>
      <c r="C1581" s="280">
        <v>45880</v>
      </c>
      <c r="D1581" s="282"/>
      <c r="E1581" s="283"/>
      <c r="F1581" s="132"/>
      <c r="I1581" s="132" t="s">
        <v>4614</v>
      </c>
      <c r="J1581" s="132" t="s">
        <v>4627</v>
      </c>
      <c r="K1581" s="141" t="s">
        <v>4628</v>
      </c>
      <c r="L1581" s="132" t="s">
        <v>4629</v>
      </c>
      <c r="O1581" s="284"/>
      <c r="P1581" s="281" t="s">
        <v>4698</v>
      </c>
      <c r="Q1581" s="132" t="s">
        <v>4616</v>
      </c>
    </row>
    <row r="1582" spans="1:17" x14ac:dyDescent="0.2">
      <c r="A1582" t="s">
        <v>331</v>
      </c>
      <c r="B1582" s="141">
        <f t="shared" si="25"/>
        <v>21.28</v>
      </c>
      <c r="C1582" s="280">
        <v>45880</v>
      </c>
      <c r="D1582" s="282"/>
      <c r="E1582" s="283"/>
      <c r="F1582" s="132"/>
      <c r="I1582" s="132" t="s">
        <v>4614</v>
      </c>
      <c r="J1582" s="132" t="s">
        <v>4627</v>
      </c>
      <c r="K1582" s="141" t="s">
        <v>4628</v>
      </c>
      <c r="L1582" s="132" t="s">
        <v>4629</v>
      </c>
      <c r="P1582" s="132" t="s">
        <v>4700</v>
      </c>
      <c r="Q1582" s="132" t="s">
        <v>4616</v>
      </c>
    </row>
    <row r="1583" spans="1:17" x14ac:dyDescent="0.2">
      <c r="A1583" t="s">
        <v>331</v>
      </c>
      <c r="B1583" s="141">
        <f>_xlfn.NUMBERVALUE(L1583)*0.01</f>
        <v>21.28</v>
      </c>
      <c r="C1583" s="280">
        <v>45880</v>
      </c>
      <c r="D1583" s="282"/>
      <c r="E1583" s="283"/>
      <c r="F1583" s="132"/>
      <c r="I1583" s="132" t="s">
        <v>4614</v>
      </c>
      <c r="J1583" s="132" t="s">
        <v>4627</v>
      </c>
      <c r="K1583" s="141" t="s">
        <v>4628</v>
      </c>
      <c r="L1583" s="132" t="s">
        <v>4629</v>
      </c>
      <c r="P1583" s="132" t="s">
        <v>4701</v>
      </c>
      <c r="Q1583" s="132" t="s">
        <v>4616</v>
      </c>
    </row>
    <row r="1584" spans="1:17" x14ac:dyDescent="0.2">
      <c r="A1584" t="s">
        <v>331</v>
      </c>
      <c r="B1584" s="141">
        <f t="shared" si="25"/>
        <v>21.28</v>
      </c>
      <c r="C1584" s="280">
        <v>45880</v>
      </c>
      <c r="D1584" s="282"/>
      <c r="E1584" s="283"/>
      <c r="F1584" s="132"/>
      <c r="I1584" s="132" t="s">
        <v>4614</v>
      </c>
      <c r="J1584" s="132" t="s">
        <v>4627</v>
      </c>
      <c r="K1584" s="141" t="s">
        <v>4628</v>
      </c>
      <c r="L1584" s="132" t="s">
        <v>4629</v>
      </c>
      <c r="P1584" s="132" t="s">
        <v>4703</v>
      </c>
      <c r="Q1584" s="132" t="s">
        <v>4616</v>
      </c>
    </row>
    <row r="1585" spans="1:17" x14ac:dyDescent="0.2">
      <c r="A1585" t="s">
        <v>331</v>
      </c>
      <c r="B1585" s="141">
        <f t="shared" si="25"/>
        <v>21.150000000000002</v>
      </c>
      <c r="C1585" s="280">
        <v>45880</v>
      </c>
      <c r="D1585" s="282"/>
      <c r="E1585" s="283"/>
      <c r="F1585" s="132"/>
      <c r="I1585" s="132" t="s">
        <v>4614</v>
      </c>
      <c r="J1585" s="132" t="s">
        <v>4627</v>
      </c>
      <c r="K1585" s="141" t="s">
        <v>2463</v>
      </c>
      <c r="L1585" s="132" t="s">
        <v>4634</v>
      </c>
      <c r="P1585" s="132" t="s">
        <v>4704</v>
      </c>
      <c r="Q1585" s="132" t="s">
        <v>4616</v>
      </c>
    </row>
    <row r="1586" spans="1:17" x14ac:dyDescent="0.2">
      <c r="A1586" t="s">
        <v>331</v>
      </c>
      <c r="B1586" s="141">
        <f t="shared" si="25"/>
        <v>21.150000000000002</v>
      </c>
      <c r="C1586" s="280">
        <v>45880</v>
      </c>
      <c r="D1586" s="282"/>
      <c r="E1586" s="283"/>
      <c r="F1586" s="132"/>
      <c r="I1586" s="132" t="s">
        <v>4614</v>
      </c>
      <c r="J1586" s="132" t="s">
        <v>4627</v>
      </c>
      <c r="K1586" s="141" t="s">
        <v>2463</v>
      </c>
      <c r="L1586" s="132" t="s">
        <v>4634</v>
      </c>
      <c r="P1586" s="132" t="s">
        <v>4705</v>
      </c>
      <c r="Q1586" s="132" t="s">
        <v>4616</v>
      </c>
    </row>
    <row r="1587" spans="1:17" x14ac:dyDescent="0.2">
      <c r="A1587" t="s">
        <v>331</v>
      </c>
      <c r="B1587" s="141">
        <f t="shared" si="25"/>
        <v>21.28</v>
      </c>
      <c r="C1587" s="280">
        <v>45880</v>
      </c>
      <c r="D1587" s="282"/>
      <c r="E1587" s="283"/>
      <c r="F1587" s="132"/>
      <c r="I1587" s="132" t="s">
        <v>4614</v>
      </c>
      <c r="J1587" s="132" t="s">
        <v>4627</v>
      </c>
      <c r="K1587" s="141" t="s">
        <v>4628</v>
      </c>
      <c r="L1587" s="132" t="s">
        <v>4629</v>
      </c>
      <c r="P1587" s="132" t="s">
        <v>4706</v>
      </c>
      <c r="Q1587" s="132" t="s">
        <v>4616</v>
      </c>
    </row>
    <row r="1588" spans="1:17" x14ac:dyDescent="0.2">
      <c r="A1588" t="s">
        <v>331</v>
      </c>
      <c r="B1588" s="141">
        <f t="shared" si="25"/>
        <v>21.150000000000002</v>
      </c>
      <c r="C1588" s="280">
        <v>45880</v>
      </c>
      <c r="D1588" s="282"/>
      <c r="E1588" s="283"/>
      <c r="F1588" s="132"/>
      <c r="I1588" s="132" t="s">
        <v>4614</v>
      </c>
      <c r="J1588" s="132" t="s">
        <v>4627</v>
      </c>
      <c r="K1588" s="141" t="s">
        <v>2463</v>
      </c>
      <c r="L1588" s="132" t="s">
        <v>4634</v>
      </c>
      <c r="P1588" s="132" t="s">
        <v>4707</v>
      </c>
      <c r="Q1588" s="132" t="s">
        <v>4616</v>
      </c>
    </row>
    <row r="1589" spans="1:17" x14ac:dyDescent="0.2">
      <c r="A1589" t="s">
        <v>331</v>
      </c>
      <c r="B1589" s="141">
        <f t="shared" si="25"/>
        <v>21.28</v>
      </c>
      <c r="C1589" s="280">
        <v>45880</v>
      </c>
      <c r="D1589" s="282"/>
      <c r="E1589" s="283"/>
      <c r="F1589" s="132"/>
      <c r="I1589" s="132" t="s">
        <v>4614</v>
      </c>
      <c r="J1589" s="132" t="s">
        <v>4627</v>
      </c>
      <c r="K1589" s="141" t="s">
        <v>4628</v>
      </c>
      <c r="L1589" s="132" t="s">
        <v>4629</v>
      </c>
      <c r="P1589" s="132" t="s">
        <v>4709</v>
      </c>
      <c r="Q1589" s="132" t="s">
        <v>4616</v>
      </c>
    </row>
    <row r="1590" spans="1:17" x14ac:dyDescent="0.2">
      <c r="A1590" t="s">
        <v>331</v>
      </c>
      <c r="B1590" s="141">
        <f t="shared" si="25"/>
        <v>21.28</v>
      </c>
      <c r="C1590" s="280">
        <v>45881</v>
      </c>
      <c r="D1590" s="282"/>
      <c r="E1590" s="283"/>
      <c r="F1590" s="132"/>
      <c r="I1590" s="132" t="s">
        <v>4614</v>
      </c>
      <c r="J1590" s="132" t="s">
        <v>4627</v>
      </c>
      <c r="K1590" s="141" t="s">
        <v>4628</v>
      </c>
      <c r="L1590" s="132" t="s">
        <v>4629</v>
      </c>
      <c r="P1590" s="132" t="s">
        <v>4710</v>
      </c>
      <c r="Q1590" s="132" t="s">
        <v>4616</v>
      </c>
    </row>
    <row r="1591" spans="1:17" x14ac:dyDescent="0.2">
      <c r="A1591" t="s">
        <v>331</v>
      </c>
      <c r="B1591" s="141">
        <f t="shared" ref="B1591:B1654" si="26">_xlfn.NUMBERVALUE(L1591)*0.01</f>
        <v>21.28</v>
      </c>
      <c r="C1591" s="280">
        <v>45881</v>
      </c>
      <c r="D1591" s="282"/>
      <c r="E1591" s="283"/>
      <c r="F1591" s="132"/>
      <c r="I1591" s="132" t="s">
        <v>4614</v>
      </c>
      <c r="J1591" s="132" t="s">
        <v>4627</v>
      </c>
      <c r="K1591" s="141" t="s">
        <v>4628</v>
      </c>
      <c r="L1591" s="132" t="s">
        <v>4629</v>
      </c>
      <c r="P1591" s="132" t="s">
        <v>4711</v>
      </c>
      <c r="Q1591" s="132" t="s">
        <v>4616</v>
      </c>
    </row>
    <row r="1592" spans="1:17" x14ac:dyDescent="0.2">
      <c r="A1592" t="s">
        <v>331</v>
      </c>
      <c r="B1592" s="141">
        <f t="shared" si="26"/>
        <v>21.28</v>
      </c>
      <c r="C1592" s="280">
        <v>45881</v>
      </c>
      <c r="D1592" s="282"/>
      <c r="E1592" s="283"/>
      <c r="F1592" s="132"/>
      <c r="I1592" s="132" t="s">
        <v>4614</v>
      </c>
      <c r="J1592" s="132" t="s">
        <v>4627</v>
      </c>
      <c r="K1592" s="141" t="s">
        <v>4628</v>
      </c>
      <c r="L1592" s="132" t="s">
        <v>4629</v>
      </c>
      <c r="P1592" s="132" t="s">
        <v>4712</v>
      </c>
      <c r="Q1592" s="132" t="s">
        <v>4616</v>
      </c>
    </row>
    <row r="1593" spans="1:17" x14ac:dyDescent="0.2">
      <c r="A1593" t="s">
        <v>331</v>
      </c>
      <c r="B1593" s="141">
        <f t="shared" si="26"/>
        <v>21.28</v>
      </c>
      <c r="C1593" s="280">
        <v>45881</v>
      </c>
      <c r="D1593" s="282"/>
      <c r="E1593" s="283"/>
      <c r="F1593" s="132"/>
      <c r="I1593" s="132" t="s">
        <v>4614</v>
      </c>
      <c r="J1593" s="132" t="s">
        <v>4627</v>
      </c>
      <c r="K1593" s="141" t="s">
        <v>4628</v>
      </c>
      <c r="L1593" s="132" t="s">
        <v>4629</v>
      </c>
      <c r="P1593" s="132" t="s">
        <v>4713</v>
      </c>
      <c r="Q1593" s="132" t="s">
        <v>4616</v>
      </c>
    </row>
    <row r="1594" spans="1:17" x14ac:dyDescent="0.2">
      <c r="A1594" t="s">
        <v>331</v>
      </c>
      <c r="B1594" s="141">
        <f t="shared" si="26"/>
        <v>21.28</v>
      </c>
      <c r="C1594" s="280">
        <v>45881</v>
      </c>
      <c r="D1594" s="282"/>
      <c r="E1594" s="283"/>
      <c r="F1594" s="132"/>
      <c r="I1594" s="132" t="s">
        <v>4614</v>
      </c>
      <c r="J1594" s="132" t="s">
        <v>4627</v>
      </c>
      <c r="K1594" s="141" t="s">
        <v>4628</v>
      </c>
      <c r="L1594" s="132" t="s">
        <v>4629</v>
      </c>
      <c r="P1594" s="132" t="s">
        <v>4715</v>
      </c>
      <c r="Q1594" s="132" t="s">
        <v>4616</v>
      </c>
    </row>
    <row r="1595" spans="1:17" x14ac:dyDescent="0.2">
      <c r="A1595" t="s">
        <v>331</v>
      </c>
      <c r="B1595" s="141">
        <f t="shared" si="26"/>
        <v>21.150000000000002</v>
      </c>
      <c r="C1595" s="280">
        <v>45881</v>
      </c>
      <c r="D1595" s="282"/>
      <c r="E1595" s="283"/>
      <c r="F1595" s="132"/>
      <c r="I1595" s="132" t="s">
        <v>4614</v>
      </c>
      <c r="J1595" s="132" t="s">
        <v>4627</v>
      </c>
      <c r="K1595" s="141" t="s">
        <v>2463</v>
      </c>
      <c r="L1595" s="132" t="s">
        <v>4634</v>
      </c>
      <c r="P1595" s="132" t="s">
        <v>4716</v>
      </c>
      <c r="Q1595" s="132" t="s">
        <v>4616</v>
      </c>
    </row>
    <row r="1596" spans="1:17" x14ac:dyDescent="0.2">
      <c r="A1596" t="s">
        <v>331</v>
      </c>
      <c r="B1596" s="141">
        <f t="shared" si="26"/>
        <v>21.28</v>
      </c>
      <c r="C1596" s="280">
        <v>45881</v>
      </c>
      <c r="D1596" s="282"/>
      <c r="E1596" s="283"/>
      <c r="F1596" s="132"/>
      <c r="I1596" s="132" t="s">
        <v>4614</v>
      </c>
      <c r="J1596" s="132" t="s">
        <v>4627</v>
      </c>
      <c r="K1596" s="141" t="s">
        <v>4628</v>
      </c>
      <c r="L1596" s="132" t="s">
        <v>4629</v>
      </c>
      <c r="N1596" s="284"/>
      <c r="P1596" s="132" t="s">
        <v>4717</v>
      </c>
      <c r="Q1596" s="132" t="s">
        <v>4616</v>
      </c>
    </row>
    <row r="1597" spans="1:17" x14ac:dyDescent="0.2">
      <c r="A1597" t="s">
        <v>331</v>
      </c>
      <c r="B1597" s="141">
        <f t="shared" si="26"/>
        <v>21.28</v>
      </c>
      <c r="C1597" s="280">
        <v>45881</v>
      </c>
      <c r="D1597" s="282"/>
      <c r="E1597" s="283"/>
      <c r="F1597" s="132"/>
      <c r="I1597" s="132" t="s">
        <v>4614</v>
      </c>
      <c r="J1597" s="132" t="s">
        <v>4627</v>
      </c>
      <c r="K1597" s="141" t="s">
        <v>4628</v>
      </c>
      <c r="L1597" s="132" t="s">
        <v>4629</v>
      </c>
      <c r="P1597" s="132" t="s">
        <v>4719</v>
      </c>
      <c r="Q1597" s="132" t="s">
        <v>4616</v>
      </c>
    </row>
    <row r="1598" spans="1:17" x14ac:dyDescent="0.2">
      <c r="A1598" t="s">
        <v>331</v>
      </c>
      <c r="B1598" s="141">
        <f t="shared" si="26"/>
        <v>21.150000000000002</v>
      </c>
      <c r="C1598" s="280">
        <v>45881</v>
      </c>
      <c r="D1598" s="282"/>
      <c r="E1598" s="283"/>
      <c r="F1598" s="132"/>
      <c r="I1598" s="132" t="s">
        <v>4614</v>
      </c>
      <c r="J1598" s="132" t="s">
        <v>4627</v>
      </c>
      <c r="K1598" s="141" t="s">
        <v>2463</v>
      </c>
      <c r="L1598" s="132" t="s">
        <v>4634</v>
      </c>
      <c r="P1598" s="132" t="s">
        <v>4720</v>
      </c>
      <c r="Q1598" s="132" t="s">
        <v>4616</v>
      </c>
    </row>
    <row r="1599" spans="1:17" x14ac:dyDescent="0.2">
      <c r="A1599" t="s">
        <v>331</v>
      </c>
      <c r="B1599" s="141">
        <f t="shared" si="26"/>
        <v>21.28</v>
      </c>
      <c r="C1599" s="280">
        <v>45881</v>
      </c>
      <c r="D1599" s="282"/>
      <c r="E1599" s="283"/>
      <c r="F1599" s="132"/>
      <c r="I1599" s="132" t="s">
        <v>4614</v>
      </c>
      <c r="J1599" s="132" t="s">
        <v>4627</v>
      </c>
      <c r="K1599" s="141" t="s">
        <v>4628</v>
      </c>
      <c r="L1599" s="132" t="s">
        <v>4629</v>
      </c>
      <c r="P1599" s="132" t="s">
        <v>4722</v>
      </c>
      <c r="Q1599" s="132" t="s">
        <v>4616</v>
      </c>
    </row>
    <row r="1600" spans="1:17" x14ac:dyDescent="0.2">
      <c r="A1600" t="s">
        <v>331</v>
      </c>
      <c r="B1600" s="141">
        <f t="shared" si="26"/>
        <v>21.150000000000002</v>
      </c>
      <c r="C1600" s="280">
        <v>45881</v>
      </c>
      <c r="D1600" s="282"/>
      <c r="E1600" s="283"/>
      <c r="F1600" s="132"/>
      <c r="I1600" s="132" t="s">
        <v>4614</v>
      </c>
      <c r="J1600" s="132" t="s">
        <v>4627</v>
      </c>
      <c r="K1600" s="141" t="s">
        <v>2463</v>
      </c>
      <c r="L1600" s="132" t="s">
        <v>4634</v>
      </c>
      <c r="P1600" s="132" t="s">
        <v>4723</v>
      </c>
      <c r="Q1600" s="132" t="s">
        <v>4616</v>
      </c>
    </row>
    <row r="1601" spans="1:17" x14ac:dyDescent="0.2">
      <c r="A1601" t="s">
        <v>331</v>
      </c>
      <c r="B1601" s="141">
        <f t="shared" si="26"/>
        <v>21.02</v>
      </c>
      <c r="C1601" s="280">
        <v>45881</v>
      </c>
      <c r="D1601" s="282"/>
      <c r="E1601" s="283"/>
      <c r="F1601" s="132"/>
      <c r="I1601" s="132" t="s">
        <v>4614</v>
      </c>
      <c r="J1601" s="132" t="s">
        <v>4627</v>
      </c>
      <c r="K1601" s="141" t="s">
        <v>3850</v>
      </c>
      <c r="L1601" s="132" t="s">
        <v>4724</v>
      </c>
      <c r="M1601" s="284"/>
      <c r="P1601" s="132" t="s">
        <v>4725</v>
      </c>
      <c r="Q1601" s="132" t="s">
        <v>4616</v>
      </c>
    </row>
    <row r="1602" spans="1:17" x14ac:dyDescent="0.2">
      <c r="A1602" t="s">
        <v>331</v>
      </c>
      <c r="B1602" s="141">
        <f t="shared" si="26"/>
        <v>21.28</v>
      </c>
      <c r="C1602" s="280">
        <v>45881</v>
      </c>
      <c r="D1602" s="282"/>
      <c r="E1602" s="283"/>
      <c r="F1602" s="132"/>
      <c r="I1602" s="132" t="s">
        <v>4614</v>
      </c>
      <c r="J1602" s="132" t="s">
        <v>4627</v>
      </c>
      <c r="K1602" s="141" t="s">
        <v>4628</v>
      </c>
      <c r="L1602" s="132" t="s">
        <v>4629</v>
      </c>
      <c r="P1602" s="132" t="s">
        <v>4726</v>
      </c>
      <c r="Q1602" s="132" t="s">
        <v>4616</v>
      </c>
    </row>
    <row r="1603" spans="1:17" x14ac:dyDescent="0.2">
      <c r="A1603" t="s">
        <v>81</v>
      </c>
      <c r="B1603" s="141">
        <f t="shared" si="26"/>
        <v>58.56</v>
      </c>
      <c r="C1603" s="280">
        <v>45881</v>
      </c>
      <c r="D1603" s="282"/>
      <c r="E1603" s="283"/>
      <c r="F1603" s="132"/>
      <c r="I1603" s="132" t="s">
        <v>4614</v>
      </c>
      <c r="J1603" s="132" t="s">
        <v>4623</v>
      </c>
      <c r="K1603" s="141" t="s">
        <v>4672</v>
      </c>
      <c r="L1603" s="132" t="s">
        <v>4673</v>
      </c>
      <c r="P1603" s="132" t="s">
        <v>4727</v>
      </c>
      <c r="Q1603" s="132" t="s">
        <v>4616</v>
      </c>
    </row>
    <row r="1604" spans="1:17" x14ac:dyDescent="0.2">
      <c r="A1604" t="s">
        <v>331</v>
      </c>
      <c r="B1604" s="141">
        <f t="shared" si="26"/>
        <v>21.150000000000002</v>
      </c>
      <c r="C1604" s="280">
        <v>45881</v>
      </c>
      <c r="D1604" s="282"/>
      <c r="E1604" s="283"/>
      <c r="F1604" s="132"/>
      <c r="I1604" s="132" t="s">
        <v>4614</v>
      </c>
      <c r="J1604" s="132" t="s">
        <v>4627</v>
      </c>
      <c r="K1604" s="141" t="s">
        <v>2463</v>
      </c>
      <c r="L1604" s="132" t="s">
        <v>4634</v>
      </c>
      <c r="P1604" s="132" t="s">
        <v>4728</v>
      </c>
      <c r="Q1604" s="132" t="s">
        <v>4616</v>
      </c>
    </row>
    <row r="1605" spans="1:17" x14ac:dyDescent="0.2">
      <c r="A1605" t="s">
        <v>331</v>
      </c>
      <c r="B1605" s="141">
        <f t="shared" si="26"/>
        <v>21.150000000000002</v>
      </c>
      <c r="C1605" s="280">
        <v>45881</v>
      </c>
      <c r="D1605" s="282"/>
      <c r="E1605" s="283"/>
      <c r="F1605" s="132"/>
      <c r="I1605" s="132" t="s">
        <v>4614</v>
      </c>
      <c r="J1605" s="132" t="s">
        <v>4627</v>
      </c>
      <c r="K1605" s="141" t="s">
        <v>2463</v>
      </c>
      <c r="L1605" s="132" t="s">
        <v>4634</v>
      </c>
      <c r="P1605" s="132" t="s">
        <v>4729</v>
      </c>
      <c r="Q1605" s="132" t="s">
        <v>4616</v>
      </c>
    </row>
    <row r="1606" spans="1:17" x14ac:dyDescent="0.2">
      <c r="A1606" t="s">
        <v>331</v>
      </c>
      <c r="B1606" s="141">
        <f t="shared" si="26"/>
        <v>21.28</v>
      </c>
      <c r="C1606" s="280">
        <v>45881</v>
      </c>
      <c r="D1606" s="282"/>
      <c r="E1606" s="283"/>
      <c r="F1606" s="132"/>
      <c r="I1606" s="132" t="s">
        <v>4614</v>
      </c>
      <c r="J1606" s="132" t="s">
        <v>4627</v>
      </c>
      <c r="K1606" s="141" t="s">
        <v>4628</v>
      </c>
      <c r="L1606" s="132" t="s">
        <v>4629</v>
      </c>
      <c r="P1606" s="132" t="s">
        <v>4730</v>
      </c>
      <c r="Q1606" s="132" t="s">
        <v>4616</v>
      </c>
    </row>
    <row r="1607" spans="1:17" x14ac:dyDescent="0.2">
      <c r="A1607" t="s">
        <v>331</v>
      </c>
      <c r="B1607" s="141">
        <f t="shared" si="26"/>
        <v>21.150000000000002</v>
      </c>
      <c r="C1607" s="280">
        <v>45881</v>
      </c>
      <c r="D1607" s="282"/>
      <c r="E1607" s="283"/>
      <c r="F1607" s="132"/>
      <c r="I1607" s="132" t="s">
        <v>4614</v>
      </c>
      <c r="J1607" s="132" t="s">
        <v>4627</v>
      </c>
      <c r="K1607" s="141" t="s">
        <v>2463</v>
      </c>
      <c r="L1607" s="132" t="s">
        <v>4634</v>
      </c>
      <c r="P1607" s="132" t="s">
        <v>4731</v>
      </c>
      <c r="Q1607" s="132" t="s">
        <v>4616</v>
      </c>
    </row>
    <row r="1608" spans="1:17" x14ac:dyDescent="0.2">
      <c r="A1608" t="s">
        <v>81</v>
      </c>
      <c r="B1608" s="141">
        <f t="shared" si="26"/>
        <v>58.56</v>
      </c>
      <c r="C1608" s="280">
        <v>45881</v>
      </c>
      <c r="D1608" s="282"/>
      <c r="E1608" s="283"/>
      <c r="I1608" s="132" t="s">
        <v>4614</v>
      </c>
      <c r="J1608" s="132" t="s">
        <v>4623</v>
      </c>
      <c r="K1608" s="141" t="s">
        <v>4672</v>
      </c>
      <c r="L1608" s="132" t="s">
        <v>4673</v>
      </c>
      <c r="P1608" s="132" t="s">
        <v>4733</v>
      </c>
      <c r="Q1608" s="132" t="s">
        <v>4616</v>
      </c>
    </row>
    <row r="1609" spans="1:17" x14ac:dyDescent="0.2">
      <c r="A1609" t="s">
        <v>331</v>
      </c>
      <c r="B1609" s="141">
        <f t="shared" si="26"/>
        <v>21.28</v>
      </c>
      <c r="C1609" s="280">
        <v>45881</v>
      </c>
      <c r="D1609" s="282"/>
      <c r="E1609" s="283"/>
      <c r="I1609" s="132" t="s">
        <v>4614</v>
      </c>
      <c r="J1609" s="132" t="s">
        <v>4627</v>
      </c>
      <c r="K1609" s="141" t="s">
        <v>4628</v>
      </c>
      <c r="L1609" s="132" t="s">
        <v>4629</v>
      </c>
      <c r="P1609" s="132" t="s">
        <v>4734</v>
      </c>
      <c r="Q1609" s="132" t="s">
        <v>4616</v>
      </c>
    </row>
    <row r="1610" spans="1:17" x14ac:dyDescent="0.2">
      <c r="A1610" t="s">
        <v>331</v>
      </c>
      <c r="B1610" s="141">
        <f t="shared" si="26"/>
        <v>21.28</v>
      </c>
      <c r="C1610" s="280">
        <v>45882</v>
      </c>
      <c r="D1610" s="282"/>
      <c r="E1610" s="283"/>
      <c r="F1610" s="132"/>
      <c r="I1610" s="132" t="s">
        <v>4614</v>
      </c>
      <c r="J1610" s="132" t="s">
        <v>4627</v>
      </c>
      <c r="K1610" s="141" t="s">
        <v>4628</v>
      </c>
      <c r="L1610" s="132" t="s">
        <v>4629</v>
      </c>
      <c r="N1610" s="284"/>
      <c r="P1610" s="132" t="s">
        <v>4735</v>
      </c>
      <c r="Q1610" s="132" t="s">
        <v>4616</v>
      </c>
    </row>
    <row r="1611" spans="1:17" x14ac:dyDescent="0.2">
      <c r="A1611" t="s">
        <v>331</v>
      </c>
      <c r="B1611" s="141">
        <f t="shared" si="26"/>
        <v>21.150000000000002</v>
      </c>
      <c r="C1611" s="280">
        <v>45882</v>
      </c>
      <c r="D1611" s="282"/>
      <c r="E1611" s="283"/>
      <c r="F1611" s="132"/>
      <c r="I1611" s="132" t="s">
        <v>4614</v>
      </c>
      <c r="J1611" s="132" t="s">
        <v>4627</v>
      </c>
      <c r="K1611" s="141" t="s">
        <v>2463</v>
      </c>
      <c r="L1611" s="132" t="s">
        <v>4634</v>
      </c>
      <c r="P1611" s="281" t="s">
        <v>4736</v>
      </c>
      <c r="Q1611" s="132" t="s">
        <v>4616</v>
      </c>
    </row>
    <row r="1612" spans="1:17" x14ac:dyDescent="0.2">
      <c r="A1612" t="s">
        <v>331</v>
      </c>
      <c r="B1612" s="141">
        <f t="shared" si="26"/>
        <v>21.28</v>
      </c>
      <c r="C1612" s="280">
        <v>45882</v>
      </c>
      <c r="D1612" s="282"/>
      <c r="E1612" s="283"/>
      <c r="F1612" s="132"/>
      <c r="I1612" s="132" t="s">
        <v>4614</v>
      </c>
      <c r="J1612" s="132" t="s">
        <v>4627</v>
      </c>
      <c r="K1612" s="141" t="s">
        <v>4628</v>
      </c>
      <c r="L1612" s="132" t="s">
        <v>4629</v>
      </c>
      <c r="P1612" s="132" t="s">
        <v>4737</v>
      </c>
      <c r="Q1612" s="132" t="s">
        <v>4616</v>
      </c>
    </row>
    <row r="1613" spans="1:17" x14ac:dyDescent="0.2">
      <c r="A1613" t="s">
        <v>331</v>
      </c>
      <c r="B1613" s="141">
        <f t="shared" si="26"/>
        <v>21.28</v>
      </c>
      <c r="C1613" s="280">
        <v>45882</v>
      </c>
      <c r="D1613" s="282"/>
      <c r="E1613" s="283"/>
      <c r="F1613" s="132"/>
      <c r="I1613" s="132" t="s">
        <v>4614</v>
      </c>
      <c r="J1613" s="132" t="s">
        <v>4627</v>
      </c>
      <c r="K1613" s="141" t="s">
        <v>4628</v>
      </c>
      <c r="L1613" s="132" t="s">
        <v>4629</v>
      </c>
      <c r="P1613" s="132" t="s">
        <v>4738</v>
      </c>
      <c r="Q1613" s="132" t="s">
        <v>4616</v>
      </c>
    </row>
    <row r="1614" spans="1:17" x14ac:dyDescent="0.2">
      <c r="A1614" t="s">
        <v>331</v>
      </c>
      <c r="B1614" s="141">
        <f t="shared" si="26"/>
        <v>21.150000000000002</v>
      </c>
      <c r="C1614" s="280">
        <v>45882</v>
      </c>
      <c r="D1614" s="282"/>
      <c r="E1614" s="283"/>
      <c r="F1614" s="132"/>
      <c r="I1614" s="132" t="s">
        <v>4614</v>
      </c>
      <c r="J1614" s="132" t="s">
        <v>4627</v>
      </c>
      <c r="K1614" s="141" t="s">
        <v>2463</v>
      </c>
      <c r="L1614" s="132" t="s">
        <v>4634</v>
      </c>
      <c r="P1614" s="132" t="s">
        <v>4739</v>
      </c>
      <c r="Q1614" s="132" t="s">
        <v>4616</v>
      </c>
    </row>
    <row r="1615" spans="1:17" x14ac:dyDescent="0.2">
      <c r="A1615" t="s">
        <v>331</v>
      </c>
      <c r="B1615" s="141">
        <f t="shared" si="26"/>
        <v>21.28</v>
      </c>
      <c r="C1615" s="280">
        <v>45882</v>
      </c>
      <c r="D1615" s="282"/>
      <c r="E1615" s="283"/>
      <c r="F1615" s="132"/>
      <c r="I1615" s="132" t="s">
        <v>4614</v>
      </c>
      <c r="J1615" s="132" t="s">
        <v>4627</v>
      </c>
      <c r="K1615" s="141" t="s">
        <v>4628</v>
      </c>
      <c r="L1615" s="132" t="s">
        <v>4629</v>
      </c>
      <c r="P1615" s="132" t="s">
        <v>4740</v>
      </c>
      <c r="Q1615" s="132" t="s">
        <v>4616</v>
      </c>
    </row>
    <row r="1616" spans="1:17" x14ac:dyDescent="0.2">
      <c r="A1616" t="s">
        <v>331</v>
      </c>
      <c r="B1616" s="141">
        <f t="shared" si="26"/>
        <v>21.150000000000002</v>
      </c>
      <c r="C1616" s="280">
        <v>45882</v>
      </c>
      <c r="D1616" s="282"/>
      <c r="E1616" s="283"/>
      <c r="F1616" s="132"/>
      <c r="I1616" s="132" t="s">
        <v>4614</v>
      </c>
      <c r="J1616" s="132" t="s">
        <v>4627</v>
      </c>
      <c r="K1616" s="141" t="s">
        <v>2463</v>
      </c>
      <c r="L1616" s="132" t="s">
        <v>4634</v>
      </c>
      <c r="P1616" s="132" t="s">
        <v>4741</v>
      </c>
      <c r="Q1616" s="132" t="s">
        <v>4616</v>
      </c>
    </row>
    <row r="1617" spans="1:17" x14ac:dyDescent="0.2">
      <c r="A1617" t="s">
        <v>331</v>
      </c>
      <c r="B1617" s="141">
        <f t="shared" si="26"/>
        <v>21.28</v>
      </c>
      <c r="C1617" s="280">
        <v>45882</v>
      </c>
      <c r="D1617" s="282"/>
      <c r="E1617" s="283"/>
      <c r="F1617" s="132"/>
      <c r="I1617" s="132" t="s">
        <v>4614</v>
      </c>
      <c r="J1617" s="132" t="s">
        <v>4627</v>
      </c>
      <c r="K1617" s="141" t="s">
        <v>4628</v>
      </c>
      <c r="L1617" s="132" t="s">
        <v>4629</v>
      </c>
      <c r="P1617" s="132" t="s">
        <v>4742</v>
      </c>
      <c r="Q1617" s="132" t="s">
        <v>4616</v>
      </c>
    </row>
    <row r="1618" spans="1:17" x14ac:dyDescent="0.2">
      <c r="A1618" t="s">
        <v>331</v>
      </c>
      <c r="B1618" s="141">
        <f t="shared" si="26"/>
        <v>21.02</v>
      </c>
      <c r="C1618" s="280">
        <v>45882</v>
      </c>
      <c r="D1618" s="282"/>
      <c r="E1618" s="283"/>
      <c r="F1618" s="132"/>
      <c r="I1618" s="132" t="s">
        <v>4614</v>
      </c>
      <c r="J1618" s="132" t="s">
        <v>4627</v>
      </c>
      <c r="K1618" s="141" t="s">
        <v>3850</v>
      </c>
      <c r="L1618" s="132" t="s">
        <v>4724</v>
      </c>
      <c r="P1618" s="132" t="s">
        <v>4744</v>
      </c>
      <c r="Q1618" s="132" t="s">
        <v>4616</v>
      </c>
    </row>
    <row r="1619" spans="1:17" x14ac:dyDescent="0.2">
      <c r="A1619" t="s">
        <v>331</v>
      </c>
      <c r="B1619" s="141">
        <f t="shared" si="26"/>
        <v>21.150000000000002</v>
      </c>
      <c r="C1619" s="280">
        <v>45882</v>
      </c>
      <c r="D1619" s="282"/>
      <c r="E1619" s="283"/>
      <c r="F1619" s="132"/>
      <c r="I1619" s="132" t="s">
        <v>4614</v>
      </c>
      <c r="J1619" s="132" t="s">
        <v>4627</v>
      </c>
      <c r="K1619" s="141" t="s">
        <v>2463</v>
      </c>
      <c r="L1619" s="132" t="s">
        <v>4634</v>
      </c>
      <c r="P1619" s="132" t="s">
        <v>4745</v>
      </c>
      <c r="Q1619" s="132" t="s">
        <v>4616</v>
      </c>
    </row>
    <row r="1620" spans="1:17" x14ac:dyDescent="0.2">
      <c r="A1620" t="s">
        <v>331</v>
      </c>
      <c r="B1620" s="141">
        <f t="shared" si="26"/>
        <v>21.28</v>
      </c>
      <c r="C1620" s="280">
        <v>45882</v>
      </c>
      <c r="D1620" s="282"/>
      <c r="E1620" s="283"/>
      <c r="F1620" s="132"/>
      <c r="I1620" s="132" t="s">
        <v>4614</v>
      </c>
      <c r="J1620" s="132" t="s">
        <v>4627</v>
      </c>
      <c r="K1620" s="141" t="s">
        <v>4628</v>
      </c>
      <c r="L1620" s="132" t="s">
        <v>4629</v>
      </c>
      <c r="P1620" s="132" t="s">
        <v>4746</v>
      </c>
      <c r="Q1620" s="132" t="s">
        <v>4616</v>
      </c>
    </row>
    <row r="1621" spans="1:17" x14ac:dyDescent="0.2">
      <c r="A1621" t="s">
        <v>331</v>
      </c>
      <c r="B1621" s="141">
        <f t="shared" si="26"/>
        <v>21.28</v>
      </c>
      <c r="C1621" s="280">
        <v>45882</v>
      </c>
      <c r="D1621" s="282"/>
      <c r="E1621" s="283"/>
      <c r="F1621" s="132"/>
      <c r="I1621" s="132" t="s">
        <v>4614</v>
      </c>
      <c r="J1621" s="132" t="s">
        <v>4627</v>
      </c>
      <c r="K1621" s="141" t="s">
        <v>4628</v>
      </c>
      <c r="L1621" s="132" t="s">
        <v>4629</v>
      </c>
      <c r="P1621" s="132" t="s">
        <v>4747</v>
      </c>
      <c r="Q1621" s="132" t="s">
        <v>4616</v>
      </c>
    </row>
    <row r="1622" spans="1:17" x14ac:dyDescent="0.2">
      <c r="A1622" t="s">
        <v>331</v>
      </c>
      <c r="B1622" s="141">
        <f t="shared" si="26"/>
        <v>21.28</v>
      </c>
      <c r="C1622" s="280">
        <v>45882</v>
      </c>
      <c r="D1622" s="282"/>
      <c r="E1622" s="283"/>
      <c r="F1622" s="132"/>
      <c r="I1622" s="132" t="s">
        <v>4614</v>
      </c>
      <c r="J1622" s="132" t="s">
        <v>4627</v>
      </c>
      <c r="K1622" s="141" t="s">
        <v>4628</v>
      </c>
      <c r="L1622" s="132" t="s">
        <v>4629</v>
      </c>
      <c r="P1622" s="132" t="s">
        <v>4748</v>
      </c>
      <c r="Q1622" s="132" t="s">
        <v>4616</v>
      </c>
    </row>
    <row r="1623" spans="1:17" x14ac:dyDescent="0.2">
      <c r="A1623" t="s">
        <v>331</v>
      </c>
      <c r="B1623" s="141">
        <f t="shared" si="26"/>
        <v>21.28</v>
      </c>
      <c r="C1623" s="280">
        <v>45882</v>
      </c>
      <c r="D1623" s="282"/>
      <c r="E1623" s="283"/>
      <c r="F1623" s="132"/>
      <c r="I1623" s="132" t="s">
        <v>4614</v>
      </c>
      <c r="J1623" s="132" t="s">
        <v>4627</v>
      </c>
      <c r="K1623" s="141" t="s">
        <v>4628</v>
      </c>
      <c r="L1623" s="132" t="s">
        <v>4629</v>
      </c>
      <c r="P1623" s="132" t="s">
        <v>4749</v>
      </c>
      <c r="Q1623" s="132" t="s">
        <v>4616</v>
      </c>
    </row>
    <row r="1624" spans="1:17" x14ac:dyDescent="0.2">
      <c r="A1624" t="s">
        <v>331</v>
      </c>
      <c r="B1624" s="141">
        <f t="shared" si="26"/>
        <v>21.28</v>
      </c>
      <c r="C1624" s="280">
        <v>45882</v>
      </c>
      <c r="D1624" s="282"/>
      <c r="E1624" s="283"/>
      <c r="F1624" s="132"/>
      <c r="I1624" s="132" t="s">
        <v>4614</v>
      </c>
      <c r="J1624" s="132" t="s">
        <v>4627</v>
      </c>
      <c r="K1624" s="141" t="s">
        <v>4628</v>
      </c>
      <c r="L1624" s="132" t="s">
        <v>4629</v>
      </c>
      <c r="P1624" s="132" t="s">
        <v>4750</v>
      </c>
      <c r="Q1624" s="132" t="s">
        <v>4616</v>
      </c>
    </row>
    <row r="1625" spans="1:17" x14ac:dyDescent="0.2">
      <c r="A1625" t="s">
        <v>331</v>
      </c>
      <c r="B1625" s="141">
        <f t="shared" si="26"/>
        <v>21.28</v>
      </c>
      <c r="C1625" s="280">
        <v>45882</v>
      </c>
      <c r="D1625" s="282"/>
      <c r="E1625" s="283"/>
      <c r="F1625" s="132"/>
      <c r="I1625" s="132" t="s">
        <v>4614</v>
      </c>
      <c r="J1625" s="132" t="s">
        <v>4627</v>
      </c>
      <c r="K1625" s="141" t="s">
        <v>4628</v>
      </c>
      <c r="L1625" s="132" t="s">
        <v>4629</v>
      </c>
      <c r="P1625" s="132" t="s">
        <v>4751</v>
      </c>
      <c r="Q1625" s="132" t="s">
        <v>4616</v>
      </c>
    </row>
    <row r="1626" spans="1:17" x14ac:dyDescent="0.2">
      <c r="A1626" t="s">
        <v>331</v>
      </c>
      <c r="B1626" s="141">
        <f t="shared" si="26"/>
        <v>21.02</v>
      </c>
      <c r="C1626" s="280">
        <v>45882</v>
      </c>
      <c r="D1626" s="282"/>
      <c r="E1626" s="283"/>
      <c r="F1626" s="132"/>
      <c r="I1626" s="132" t="s">
        <v>4614</v>
      </c>
      <c r="J1626" s="132" t="s">
        <v>4627</v>
      </c>
      <c r="K1626" s="141" t="s">
        <v>3850</v>
      </c>
      <c r="L1626" s="132" t="s">
        <v>4724</v>
      </c>
      <c r="P1626" s="132" t="s">
        <v>4752</v>
      </c>
      <c r="Q1626" s="132" t="s">
        <v>4616</v>
      </c>
    </row>
    <row r="1627" spans="1:17" x14ac:dyDescent="0.2">
      <c r="A1627" t="s">
        <v>331</v>
      </c>
      <c r="B1627" s="141">
        <f t="shared" si="26"/>
        <v>21.28</v>
      </c>
      <c r="C1627" s="280">
        <v>45882</v>
      </c>
      <c r="D1627" s="282"/>
      <c r="E1627" s="283"/>
      <c r="F1627" s="132"/>
      <c r="I1627" s="132" t="s">
        <v>4614</v>
      </c>
      <c r="J1627" s="132" t="s">
        <v>4627</v>
      </c>
      <c r="K1627" s="141" t="s">
        <v>4628</v>
      </c>
      <c r="L1627" s="132" t="s">
        <v>4629</v>
      </c>
      <c r="P1627" s="132" t="s">
        <v>4754</v>
      </c>
      <c r="Q1627" s="132" t="s">
        <v>4616</v>
      </c>
    </row>
    <row r="1628" spans="1:17" x14ac:dyDescent="0.2">
      <c r="A1628" t="s">
        <v>331</v>
      </c>
      <c r="B1628" s="141">
        <f t="shared" si="26"/>
        <v>21.28</v>
      </c>
      <c r="C1628" s="280">
        <v>45883</v>
      </c>
      <c r="D1628" s="282"/>
      <c r="E1628" s="283"/>
      <c r="F1628" s="132"/>
      <c r="I1628" s="132" t="s">
        <v>4614</v>
      </c>
      <c r="J1628" s="132" t="s">
        <v>4627</v>
      </c>
      <c r="K1628" s="141" t="s">
        <v>4628</v>
      </c>
      <c r="L1628" s="132" t="s">
        <v>4629</v>
      </c>
      <c r="O1628" s="284"/>
      <c r="P1628" s="132" t="s">
        <v>4755</v>
      </c>
      <c r="Q1628" s="132" t="s">
        <v>4616</v>
      </c>
    </row>
    <row r="1629" spans="1:17" x14ac:dyDescent="0.2">
      <c r="A1629" t="s">
        <v>331</v>
      </c>
      <c r="B1629" s="141">
        <f t="shared" si="26"/>
        <v>21.28</v>
      </c>
      <c r="C1629" s="280">
        <v>45883</v>
      </c>
      <c r="D1629" s="282"/>
      <c r="E1629" s="283"/>
      <c r="F1629" s="132"/>
      <c r="I1629" s="132" t="s">
        <v>4614</v>
      </c>
      <c r="J1629" s="132" t="s">
        <v>4627</v>
      </c>
      <c r="K1629" s="141" t="s">
        <v>4628</v>
      </c>
      <c r="L1629" s="132" t="s">
        <v>4629</v>
      </c>
      <c r="P1629" s="281" t="s">
        <v>4757</v>
      </c>
      <c r="Q1629" s="132" t="s">
        <v>4616</v>
      </c>
    </row>
    <row r="1630" spans="1:17" x14ac:dyDescent="0.2">
      <c r="A1630" t="s">
        <v>331</v>
      </c>
      <c r="B1630" s="141">
        <f t="shared" si="26"/>
        <v>21.150000000000002</v>
      </c>
      <c r="C1630" s="280">
        <v>45883</v>
      </c>
      <c r="D1630" s="282"/>
      <c r="E1630" s="283"/>
      <c r="F1630" s="132"/>
      <c r="I1630" s="132" t="s">
        <v>4614</v>
      </c>
      <c r="J1630" s="132" t="s">
        <v>4627</v>
      </c>
      <c r="K1630" s="141" t="s">
        <v>2463</v>
      </c>
      <c r="L1630" s="132" t="s">
        <v>4634</v>
      </c>
      <c r="P1630" s="132" t="s">
        <v>4758</v>
      </c>
      <c r="Q1630" s="132" t="s">
        <v>4616</v>
      </c>
    </row>
    <row r="1631" spans="1:17" x14ac:dyDescent="0.2">
      <c r="A1631" t="s">
        <v>81</v>
      </c>
      <c r="B1631" s="141">
        <f t="shared" si="26"/>
        <v>58.2</v>
      </c>
      <c r="C1631" s="280">
        <v>45883</v>
      </c>
      <c r="D1631" s="282"/>
      <c r="E1631" s="283"/>
      <c r="F1631" s="132"/>
      <c r="I1631" s="132" t="s">
        <v>4614</v>
      </c>
      <c r="J1631" s="132" t="s">
        <v>4623</v>
      </c>
      <c r="K1631" s="141" t="s">
        <v>4624</v>
      </c>
      <c r="L1631" s="132" t="s">
        <v>4625</v>
      </c>
      <c r="P1631" s="281" t="s">
        <v>4759</v>
      </c>
      <c r="Q1631" s="132" t="s">
        <v>4616</v>
      </c>
    </row>
    <row r="1632" spans="1:17" x14ac:dyDescent="0.2">
      <c r="A1632" t="s">
        <v>331</v>
      </c>
      <c r="B1632" s="141">
        <f t="shared" si="26"/>
        <v>21.28</v>
      </c>
      <c r="C1632" s="280">
        <v>45883</v>
      </c>
      <c r="D1632" s="282"/>
      <c r="E1632" s="283"/>
      <c r="F1632" s="132"/>
      <c r="I1632" s="132" t="s">
        <v>4614</v>
      </c>
      <c r="J1632" s="132" t="s">
        <v>4627</v>
      </c>
      <c r="K1632" s="141" t="s">
        <v>4628</v>
      </c>
      <c r="L1632" s="132" t="s">
        <v>4629</v>
      </c>
      <c r="P1632" s="132" t="s">
        <v>4760</v>
      </c>
      <c r="Q1632" s="132" t="s">
        <v>4616</v>
      </c>
    </row>
    <row r="1633" spans="1:17" x14ac:dyDescent="0.2">
      <c r="A1633" t="s">
        <v>331</v>
      </c>
      <c r="B1633" s="141">
        <f t="shared" si="26"/>
        <v>21.28</v>
      </c>
      <c r="C1633" s="280">
        <v>45883</v>
      </c>
      <c r="D1633" s="282"/>
      <c r="E1633" s="283"/>
      <c r="F1633" s="132"/>
      <c r="I1633" s="132" t="s">
        <v>4614</v>
      </c>
      <c r="J1633" s="132" t="s">
        <v>4627</v>
      </c>
      <c r="K1633" s="141" t="s">
        <v>4628</v>
      </c>
      <c r="L1633" s="132" t="s">
        <v>4629</v>
      </c>
      <c r="P1633" s="132" t="s">
        <v>4762</v>
      </c>
      <c r="Q1633" s="132" t="s">
        <v>4616</v>
      </c>
    </row>
    <row r="1634" spans="1:17" x14ac:dyDescent="0.2">
      <c r="A1634" t="s">
        <v>331</v>
      </c>
      <c r="B1634" s="141">
        <f t="shared" si="26"/>
        <v>21.28</v>
      </c>
      <c r="C1634" s="280">
        <v>45883</v>
      </c>
      <c r="D1634" s="282"/>
      <c r="E1634" s="283"/>
      <c r="F1634" s="132"/>
      <c r="I1634" s="132" t="s">
        <v>4614</v>
      </c>
      <c r="J1634" s="132" t="s">
        <v>4627</v>
      </c>
      <c r="K1634" s="141" t="s">
        <v>4628</v>
      </c>
      <c r="L1634" s="132" t="s">
        <v>4629</v>
      </c>
      <c r="P1634" s="132" t="s">
        <v>4763</v>
      </c>
      <c r="Q1634" s="132" t="s">
        <v>4616</v>
      </c>
    </row>
    <row r="1635" spans="1:17" x14ac:dyDescent="0.2">
      <c r="A1635" t="s">
        <v>331</v>
      </c>
      <c r="B1635" s="141">
        <f t="shared" si="26"/>
        <v>21.28</v>
      </c>
      <c r="C1635" s="280">
        <v>45883</v>
      </c>
      <c r="D1635" s="282"/>
      <c r="E1635" s="283"/>
      <c r="F1635" s="132"/>
      <c r="I1635" s="132" t="s">
        <v>4614</v>
      </c>
      <c r="J1635" s="132" t="s">
        <v>4627</v>
      </c>
      <c r="K1635" s="141" t="s">
        <v>4628</v>
      </c>
      <c r="L1635" s="132" t="s">
        <v>4629</v>
      </c>
      <c r="P1635" s="132" t="s">
        <v>4764</v>
      </c>
      <c r="Q1635" s="132" t="s">
        <v>4616</v>
      </c>
    </row>
    <row r="1636" spans="1:17" x14ac:dyDescent="0.2">
      <c r="A1636" t="s">
        <v>331</v>
      </c>
      <c r="B1636" s="141">
        <f t="shared" si="26"/>
        <v>21.28</v>
      </c>
      <c r="C1636" s="280">
        <v>45883</v>
      </c>
      <c r="D1636" s="282"/>
      <c r="E1636" s="283"/>
      <c r="F1636" s="132"/>
      <c r="I1636" s="132" t="s">
        <v>4614</v>
      </c>
      <c r="J1636" s="132" t="s">
        <v>4627</v>
      </c>
      <c r="K1636" s="141" t="s">
        <v>4628</v>
      </c>
      <c r="L1636" s="132" t="s">
        <v>4629</v>
      </c>
      <c r="N1636" s="284"/>
      <c r="P1636" s="132" t="s">
        <v>4766</v>
      </c>
      <c r="Q1636" s="132" t="s">
        <v>4616</v>
      </c>
    </row>
    <row r="1637" spans="1:17" x14ac:dyDescent="0.2">
      <c r="A1637" t="s">
        <v>331</v>
      </c>
      <c r="B1637" s="141">
        <f t="shared" si="26"/>
        <v>21.28</v>
      </c>
      <c r="C1637" s="280">
        <v>45883</v>
      </c>
      <c r="D1637" s="282"/>
      <c r="E1637" s="283"/>
      <c r="F1637" s="132"/>
      <c r="I1637" s="132" t="s">
        <v>4614</v>
      </c>
      <c r="J1637" s="132" t="s">
        <v>4627</v>
      </c>
      <c r="K1637" s="141" t="s">
        <v>4628</v>
      </c>
      <c r="L1637" s="132" t="s">
        <v>4629</v>
      </c>
      <c r="P1637" s="132" t="s">
        <v>4767</v>
      </c>
      <c r="Q1637" s="132" t="s">
        <v>4616</v>
      </c>
    </row>
    <row r="1638" spans="1:17" x14ac:dyDescent="0.2">
      <c r="A1638" t="s">
        <v>331</v>
      </c>
      <c r="B1638" s="141">
        <f t="shared" si="26"/>
        <v>21.28</v>
      </c>
      <c r="C1638" s="280">
        <v>45883</v>
      </c>
      <c r="D1638" s="282"/>
      <c r="E1638" s="283"/>
      <c r="F1638" s="132"/>
      <c r="I1638" s="132" t="s">
        <v>4614</v>
      </c>
      <c r="J1638" s="132" t="s">
        <v>4627</v>
      </c>
      <c r="K1638" s="141" t="s">
        <v>4628</v>
      </c>
      <c r="L1638" s="132" t="s">
        <v>4629</v>
      </c>
      <c r="P1638" s="132" t="s">
        <v>4768</v>
      </c>
      <c r="Q1638" s="132" t="s">
        <v>4616</v>
      </c>
    </row>
    <row r="1639" spans="1:17" x14ac:dyDescent="0.2">
      <c r="A1639" t="s">
        <v>331</v>
      </c>
      <c r="B1639" s="141">
        <f t="shared" si="26"/>
        <v>21.150000000000002</v>
      </c>
      <c r="C1639" s="280">
        <v>45884</v>
      </c>
      <c r="D1639" s="282"/>
      <c r="E1639" s="283"/>
      <c r="F1639" s="132"/>
      <c r="I1639" s="132" t="s">
        <v>4614</v>
      </c>
      <c r="J1639" s="132" t="s">
        <v>4627</v>
      </c>
      <c r="K1639" s="141" t="s">
        <v>2463</v>
      </c>
      <c r="L1639" s="132" t="s">
        <v>4634</v>
      </c>
      <c r="P1639" s="132" t="s">
        <v>4769</v>
      </c>
      <c r="Q1639" s="132" t="s">
        <v>4616</v>
      </c>
    </row>
    <row r="1640" spans="1:17" x14ac:dyDescent="0.2">
      <c r="A1640" t="s">
        <v>81</v>
      </c>
      <c r="B1640" s="141">
        <f>_xlfn.NUMBERVALUE(L1640)*0.01</f>
        <v>58.56</v>
      </c>
      <c r="C1640" s="280">
        <v>45884</v>
      </c>
      <c r="D1640" s="282"/>
      <c r="E1640" s="283"/>
      <c r="F1640" s="132"/>
      <c r="I1640" s="132" t="s">
        <v>4614</v>
      </c>
      <c r="J1640" s="132" t="s">
        <v>4623</v>
      </c>
      <c r="K1640" s="141" t="s">
        <v>4672</v>
      </c>
      <c r="L1640" s="132" t="s">
        <v>4673</v>
      </c>
      <c r="P1640" s="132" t="s">
        <v>4770</v>
      </c>
      <c r="Q1640" s="132" t="s">
        <v>4616</v>
      </c>
    </row>
    <row r="1641" spans="1:17" x14ac:dyDescent="0.2">
      <c r="A1641" t="s">
        <v>331</v>
      </c>
      <c r="B1641" s="141">
        <f>_xlfn.NUMBERVALUE(L1641)*0.01</f>
        <v>21.28</v>
      </c>
      <c r="C1641" s="280">
        <v>45884</v>
      </c>
      <c r="D1641" s="282"/>
      <c r="E1641" s="283"/>
      <c r="F1641" s="132"/>
      <c r="I1641" s="132" t="s">
        <v>4614</v>
      </c>
      <c r="J1641" s="132" t="s">
        <v>4627</v>
      </c>
      <c r="K1641" s="141" t="s">
        <v>4628</v>
      </c>
      <c r="L1641" s="132" t="s">
        <v>4629</v>
      </c>
      <c r="P1641" s="132" t="s">
        <v>4772</v>
      </c>
      <c r="Q1641" s="132" t="s">
        <v>4616</v>
      </c>
    </row>
    <row r="1642" spans="1:17" x14ac:dyDescent="0.2">
      <c r="A1642" t="s">
        <v>331</v>
      </c>
      <c r="B1642" s="141">
        <f t="shared" si="26"/>
        <v>21.150000000000002</v>
      </c>
      <c r="C1642" s="280">
        <v>45884</v>
      </c>
      <c r="D1642" s="282"/>
      <c r="E1642" s="283"/>
      <c r="F1642" s="132"/>
      <c r="I1642" s="132" t="s">
        <v>4614</v>
      </c>
      <c r="J1642" s="132" t="s">
        <v>4627</v>
      </c>
      <c r="K1642" s="141" t="s">
        <v>2463</v>
      </c>
      <c r="L1642" s="132" t="s">
        <v>4634</v>
      </c>
      <c r="P1642" s="132" t="s">
        <v>4773</v>
      </c>
      <c r="Q1642" s="132" t="s">
        <v>4616</v>
      </c>
    </row>
    <row r="1643" spans="1:17" x14ac:dyDescent="0.2">
      <c r="A1643" t="s">
        <v>331</v>
      </c>
      <c r="B1643" s="141">
        <f t="shared" si="26"/>
        <v>21.28</v>
      </c>
      <c r="C1643" s="280">
        <v>45884</v>
      </c>
      <c r="D1643" s="282"/>
      <c r="E1643" s="283"/>
      <c r="F1643" s="132"/>
      <c r="I1643" s="132" t="s">
        <v>4614</v>
      </c>
      <c r="J1643" s="132" t="s">
        <v>4627</v>
      </c>
      <c r="K1643" s="141" t="s">
        <v>4628</v>
      </c>
      <c r="L1643" s="132" t="s">
        <v>4629</v>
      </c>
      <c r="P1643" s="132" t="s">
        <v>4774</v>
      </c>
      <c r="Q1643" s="132" t="s">
        <v>4616</v>
      </c>
    </row>
    <row r="1644" spans="1:17" x14ac:dyDescent="0.2">
      <c r="A1644" t="s">
        <v>331</v>
      </c>
      <c r="B1644" s="141">
        <f t="shared" si="26"/>
        <v>21.28</v>
      </c>
      <c r="C1644" s="280">
        <v>45884</v>
      </c>
      <c r="D1644" s="282"/>
      <c r="E1644" s="283"/>
      <c r="F1644" s="132"/>
      <c r="I1644" s="132" t="s">
        <v>4614</v>
      </c>
      <c r="J1644" s="132" t="s">
        <v>4627</v>
      </c>
      <c r="K1644" s="141" t="s">
        <v>4628</v>
      </c>
      <c r="L1644" s="132" t="s">
        <v>4629</v>
      </c>
      <c r="P1644" s="132" t="s">
        <v>4775</v>
      </c>
      <c r="Q1644" s="132" t="s">
        <v>4616</v>
      </c>
    </row>
    <row r="1645" spans="1:17" x14ac:dyDescent="0.2">
      <c r="A1645" t="s">
        <v>81</v>
      </c>
      <c r="B1645" s="141">
        <f t="shared" si="26"/>
        <v>58.2</v>
      </c>
      <c r="C1645" s="280">
        <v>45884</v>
      </c>
      <c r="D1645" s="282"/>
      <c r="E1645" s="283"/>
      <c r="F1645" s="132"/>
      <c r="I1645" s="132" t="s">
        <v>4614</v>
      </c>
      <c r="J1645" s="132" t="s">
        <v>4623</v>
      </c>
      <c r="K1645" s="141" t="s">
        <v>4624</v>
      </c>
      <c r="L1645" s="132" t="s">
        <v>4625</v>
      </c>
      <c r="P1645" s="132" t="s">
        <v>4776</v>
      </c>
      <c r="Q1645" s="132" t="s">
        <v>4616</v>
      </c>
    </row>
    <row r="1646" spans="1:17" x14ac:dyDescent="0.2">
      <c r="A1646" t="s">
        <v>81</v>
      </c>
      <c r="B1646" s="141">
        <f t="shared" si="26"/>
        <v>58.2</v>
      </c>
      <c r="C1646" s="280">
        <v>45885</v>
      </c>
      <c r="D1646" s="282"/>
      <c r="E1646" s="283"/>
      <c r="F1646" s="132"/>
      <c r="I1646" s="132" t="s">
        <v>4614</v>
      </c>
      <c r="J1646" s="132" t="s">
        <v>4623</v>
      </c>
      <c r="K1646" s="141" t="s">
        <v>4624</v>
      </c>
      <c r="L1646" s="132" t="s">
        <v>4625</v>
      </c>
      <c r="P1646" s="132" t="s">
        <v>4777</v>
      </c>
      <c r="Q1646" s="132" t="s">
        <v>4616</v>
      </c>
    </row>
    <row r="1647" spans="1:17" x14ac:dyDescent="0.2">
      <c r="A1647" t="s">
        <v>331</v>
      </c>
      <c r="B1647" s="141">
        <f t="shared" si="26"/>
        <v>21.28</v>
      </c>
      <c r="C1647" s="280">
        <v>45885</v>
      </c>
      <c r="D1647" s="282"/>
      <c r="E1647" s="283"/>
      <c r="F1647" s="132"/>
      <c r="I1647" s="132" t="s">
        <v>4614</v>
      </c>
      <c r="J1647" s="132" t="s">
        <v>4627</v>
      </c>
      <c r="K1647" s="646" t="s">
        <v>4628</v>
      </c>
      <c r="L1647" s="132" t="s">
        <v>4629</v>
      </c>
      <c r="P1647" s="132" t="s">
        <v>4779</v>
      </c>
      <c r="Q1647" s="132" t="s">
        <v>4616</v>
      </c>
    </row>
    <row r="1648" spans="1:17" x14ac:dyDescent="0.2">
      <c r="A1648" t="s">
        <v>331</v>
      </c>
      <c r="B1648" s="141">
        <f t="shared" si="26"/>
        <v>21.28</v>
      </c>
      <c r="C1648" s="280">
        <v>45885</v>
      </c>
      <c r="D1648" s="282"/>
      <c r="E1648" s="283"/>
      <c r="F1648" s="132"/>
      <c r="I1648" s="132" t="s">
        <v>4614</v>
      </c>
      <c r="J1648" s="132" t="s">
        <v>4627</v>
      </c>
      <c r="K1648" s="646" t="s">
        <v>4628</v>
      </c>
      <c r="L1648" s="132" t="s">
        <v>4629</v>
      </c>
      <c r="P1648" s="132" t="s">
        <v>4781</v>
      </c>
      <c r="Q1648" s="132" t="s">
        <v>4616</v>
      </c>
    </row>
    <row r="1649" spans="1:17" x14ac:dyDescent="0.2">
      <c r="A1649" t="s">
        <v>331</v>
      </c>
      <c r="B1649" s="141">
        <f t="shared" si="26"/>
        <v>21.28</v>
      </c>
      <c r="C1649" s="280">
        <v>45885</v>
      </c>
      <c r="D1649" s="282"/>
      <c r="E1649" s="283"/>
      <c r="F1649" s="132"/>
      <c r="I1649" s="132" t="s">
        <v>4614</v>
      </c>
      <c r="J1649" s="132" t="s">
        <v>4627</v>
      </c>
      <c r="K1649" s="646" t="s">
        <v>4628</v>
      </c>
      <c r="L1649" s="132" t="s">
        <v>4629</v>
      </c>
      <c r="P1649" s="132" t="s">
        <v>4783</v>
      </c>
      <c r="Q1649" s="132" t="s">
        <v>4616</v>
      </c>
    </row>
    <row r="1650" spans="1:17" x14ac:dyDescent="0.2">
      <c r="A1650" t="s">
        <v>331</v>
      </c>
      <c r="B1650" s="141">
        <f t="shared" si="26"/>
        <v>21.28</v>
      </c>
      <c r="C1650" s="280">
        <v>45885</v>
      </c>
      <c r="D1650" s="282"/>
      <c r="E1650" s="283"/>
      <c r="F1650" s="132"/>
      <c r="I1650" s="132" t="s">
        <v>4614</v>
      </c>
      <c r="J1650" s="132" t="s">
        <v>4627</v>
      </c>
      <c r="K1650" s="646" t="s">
        <v>4628</v>
      </c>
      <c r="L1650" s="132" t="s">
        <v>4629</v>
      </c>
      <c r="P1650" s="132" t="s">
        <v>4785</v>
      </c>
      <c r="Q1650" s="132" t="s">
        <v>4616</v>
      </c>
    </row>
    <row r="1651" spans="1:17" x14ac:dyDescent="0.2">
      <c r="A1651" t="s">
        <v>331</v>
      </c>
      <c r="B1651" s="141">
        <f t="shared" si="26"/>
        <v>21.28</v>
      </c>
      <c r="C1651" s="280">
        <v>45886</v>
      </c>
      <c r="D1651" s="282"/>
      <c r="E1651" s="283"/>
      <c r="F1651" s="132"/>
      <c r="I1651" s="132" t="s">
        <v>4614</v>
      </c>
      <c r="J1651" s="132" t="s">
        <v>4627</v>
      </c>
      <c r="K1651" s="646" t="s">
        <v>4628</v>
      </c>
      <c r="L1651" s="132" t="s">
        <v>4629</v>
      </c>
      <c r="P1651" s="132" t="s">
        <v>4786</v>
      </c>
      <c r="Q1651" s="132" t="s">
        <v>4616</v>
      </c>
    </row>
    <row r="1652" spans="1:17" x14ac:dyDescent="0.2">
      <c r="A1652" t="s">
        <v>331</v>
      </c>
      <c r="B1652" s="141">
        <f t="shared" si="26"/>
        <v>21.28</v>
      </c>
      <c r="C1652" s="280">
        <v>45886</v>
      </c>
      <c r="D1652" s="282"/>
      <c r="E1652" s="283"/>
      <c r="F1652" s="132"/>
      <c r="I1652" s="132" t="s">
        <v>4614</v>
      </c>
      <c r="J1652" s="132" t="s">
        <v>4627</v>
      </c>
      <c r="K1652" s="646" t="s">
        <v>4628</v>
      </c>
      <c r="L1652" s="132" t="s">
        <v>4629</v>
      </c>
      <c r="P1652" s="132" t="s">
        <v>4787</v>
      </c>
      <c r="Q1652" s="132" t="s">
        <v>4616</v>
      </c>
    </row>
    <row r="1653" spans="1:17" x14ac:dyDescent="0.2">
      <c r="A1653" t="s">
        <v>331</v>
      </c>
      <c r="B1653" s="141">
        <f t="shared" si="26"/>
        <v>21.28</v>
      </c>
      <c r="C1653" s="280">
        <v>45886</v>
      </c>
      <c r="D1653" s="282"/>
      <c r="E1653" s="283"/>
      <c r="F1653" s="132"/>
      <c r="I1653" s="132" t="s">
        <v>4614</v>
      </c>
      <c r="J1653" s="132" t="s">
        <v>4627</v>
      </c>
      <c r="K1653" s="646" t="s">
        <v>4628</v>
      </c>
      <c r="L1653" s="132" t="s">
        <v>4629</v>
      </c>
      <c r="P1653" s="132" t="s">
        <v>4788</v>
      </c>
      <c r="Q1653" s="132" t="s">
        <v>4616</v>
      </c>
    </row>
    <row r="1654" spans="1:17" x14ac:dyDescent="0.2">
      <c r="A1654" t="s">
        <v>331</v>
      </c>
      <c r="B1654" s="141">
        <f t="shared" si="26"/>
        <v>21.28</v>
      </c>
      <c r="C1654" s="280">
        <v>45886</v>
      </c>
      <c r="D1654" s="282"/>
      <c r="E1654" s="283"/>
      <c r="I1654" s="132" t="s">
        <v>4614</v>
      </c>
      <c r="J1654" s="132" t="s">
        <v>4627</v>
      </c>
      <c r="K1654" s="646" t="s">
        <v>4628</v>
      </c>
      <c r="L1654" s="132" t="s">
        <v>4629</v>
      </c>
      <c r="P1654" s="132" t="s">
        <v>4789</v>
      </c>
      <c r="Q1654" s="132" t="s">
        <v>4616</v>
      </c>
    </row>
    <row r="1655" spans="1:17" x14ac:dyDescent="0.2">
      <c r="A1655" t="s">
        <v>81</v>
      </c>
      <c r="B1655" s="141">
        <f t="shared" ref="B1655:B1711" si="27">_xlfn.NUMBERVALUE(L1655)*0.01</f>
        <v>42.86</v>
      </c>
      <c r="C1655" s="280">
        <v>45886</v>
      </c>
      <c r="D1655" s="282"/>
      <c r="E1655" s="283"/>
      <c r="F1655" s="132"/>
      <c r="I1655" s="132" t="s">
        <v>4614</v>
      </c>
      <c r="J1655" s="132" t="s">
        <v>4790</v>
      </c>
      <c r="K1655" s="646" t="s">
        <v>4791</v>
      </c>
      <c r="L1655" s="132" t="s">
        <v>4565</v>
      </c>
      <c r="P1655" s="132" t="s">
        <v>4792</v>
      </c>
      <c r="Q1655" s="132" t="s">
        <v>4616</v>
      </c>
    </row>
    <row r="1656" spans="1:17" x14ac:dyDescent="0.2">
      <c r="A1656" t="s">
        <v>331</v>
      </c>
      <c r="B1656" s="141">
        <f t="shared" si="27"/>
        <v>21.28</v>
      </c>
      <c r="C1656" s="280">
        <v>45886</v>
      </c>
      <c r="D1656" s="282"/>
      <c r="E1656" s="283"/>
      <c r="F1656" s="132"/>
      <c r="I1656" s="132" t="s">
        <v>4614</v>
      </c>
      <c r="J1656" s="132" t="s">
        <v>4627</v>
      </c>
      <c r="K1656" s="646" t="s">
        <v>4628</v>
      </c>
      <c r="L1656" s="132" t="s">
        <v>4629</v>
      </c>
      <c r="P1656" s="132" t="s">
        <v>4793</v>
      </c>
      <c r="Q1656" s="132" t="s">
        <v>4616</v>
      </c>
    </row>
    <row r="1657" spans="1:17" x14ac:dyDescent="0.2">
      <c r="A1657" t="s">
        <v>331</v>
      </c>
      <c r="B1657" s="141">
        <f t="shared" si="27"/>
        <v>21.28</v>
      </c>
      <c r="C1657" s="280">
        <v>45887</v>
      </c>
      <c r="D1657" s="282"/>
      <c r="E1657" s="283"/>
      <c r="F1657" s="132"/>
      <c r="I1657" s="132" t="s">
        <v>4614</v>
      </c>
      <c r="J1657" s="132" t="s">
        <v>4627</v>
      </c>
      <c r="K1657" s="646" t="s">
        <v>4628</v>
      </c>
      <c r="L1657" s="132" t="s">
        <v>4629</v>
      </c>
      <c r="O1657" s="284"/>
      <c r="P1657" s="132" t="s">
        <v>4795</v>
      </c>
      <c r="Q1657" s="132" t="s">
        <v>4616</v>
      </c>
    </row>
    <row r="1658" spans="1:17" x14ac:dyDescent="0.2">
      <c r="A1658" t="s">
        <v>331</v>
      </c>
      <c r="B1658" s="141">
        <f t="shared" si="27"/>
        <v>21.28</v>
      </c>
      <c r="C1658" s="280">
        <v>45887</v>
      </c>
      <c r="D1658" s="282"/>
      <c r="E1658" s="283"/>
      <c r="F1658" s="132"/>
      <c r="I1658" s="132" t="s">
        <v>4614</v>
      </c>
      <c r="J1658" s="132" t="s">
        <v>4627</v>
      </c>
      <c r="K1658" s="646" t="s">
        <v>4628</v>
      </c>
      <c r="L1658" s="132" t="s">
        <v>4629</v>
      </c>
      <c r="P1658" s="132" t="s">
        <v>4797</v>
      </c>
      <c r="Q1658" s="132" t="s">
        <v>4616</v>
      </c>
    </row>
    <row r="1659" spans="1:17" x14ac:dyDescent="0.2">
      <c r="A1659" t="s">
        <v>331</v>
      </c>
      <c r="B1659" s="141">
        <f t="shared" si="27"/>
        <v>21.28</v>
      </c>
      <c r="C1659" s="280">
        <v>45887</v>
      </c>
      <c r="D1659" s="282"/>
      <c r="E1659" s="283"/>
      <c r="F1659" s="132"/>
      <c r="I1659" s="132" t="s">
        <v>4614</v>
      </c>
      <c r="J1659" s="132" t="s">
        <v>4627</v>
      </c>
      <c r="K1659" s="646" t="s">
        <v>4628</v>
      </c>
      <c r="L1659" s="132" t="s">
        <v>4629</v>
      </c>
      <c r="N1659" s="284"/>
      <c r="P1659" s="132" t="s">
        <v>4799</v>
      </c>
      <c r="Q1659" s="132" t="s">
        <v>4616</v>
      </c>
    </row>
    <row r="1660" spans="1:17" x14ac:dyDescent="0.2">
      <c r="A1660" t="s">
        <v>331</v>
      </c>
      <c r="B1660" s="141">
        <f t="shared" si="27"/>
        <v>21.150000000000002</v>
      </c>
      <c r="C1660" s="280">
        <v>45887</v>
      </c>
      <c r="D1660" s="282"/>
      <c r="E1660" s="283"/>
      <c r="F1660" s="132"/>
      <c r="I1660" s="132" t="s">
        <v>4614</v>
      </c>
      <c r="J1660" s="132" t="s">
        <v>4627</v>
      </c>
      <c r="K1660" s="141" t="s">
        <v>2463</v>
      </c>
      <c r="L1660" s="132" t="s">
        <v>4634</v>
      </c>
      <c r="P1660" s="132" t="s">
        <v>4800</v>
      </c>
      <c r="Q1660" s="132" t="s">
        <v>4616</v>
      </c>
    </row>
    <row r="1661" spans="1:17" x14ac:dyDescent="0.2">
      <c r="A1661" t="s">
        <v>331</v>
      </c>
      <c r="B1661" s="141">
        <f t="shared" si="27"/>
        <v>21.28</v>
      </c>
      <c r="C1661" s="280">
        <v>45887</v>
      </c>
      <c r="D1661" s="282"/>
      <c r="E1661" s="283"/>
      <c r="F1661" s="132"/>
      <c r="I1661" s="132" t="s">
        <v>4614</v>
      </c>
      <c r="J1661" s="132" t="s">
        <v>4627</v>
      </c>
      <c r="K1661" s="646" t="s">
        <v>4628</v>
      </c>
      <c r="L1661" s="132" t="s">
        <v>4629</v>
      </c>
      <c r="P1661" s="132" t="s">
        <v>4801</v>
      </c>
      <c r="Q1661" s="132" t="s">
        <v>4616</v>
      </c>
    </row>
    <row r="1662" spans="1:17" x14ac:dyDescent="0.2">
      <c r="A1662" t="s">
        <v>331</v>
      </c>
      <c r="B1662" s="141">
        <f t="shared" si="27"/>
        <v>21.28</v>
      </c>
      <c r="C1662" s="280">
        <v>45887</v>
      </c>
      <c r="D1662" s="282"/>
      <c r="E1662" s="283"/>
      <c r="F1662" s="132"/>
      <c r="I1662" s="132" t="s">
        <v>4614</v>
      </c>
      <c r="J1662" s="132" t="s">
        <v>4627</v>
      </c>
      <c r="K1662" s="646" t="s">
        <v>4628</v>
      </c>
      <c r="L1662" s="132" t="s">
        <v>4629</v>
      </c>
      <c r="P1662" s="132" t="s">
        <v>4802</v>
      </c>
      <c r="Q1662" s="132" t="s">
        <v>4616</v>
      </c>
    </row>
    <row r="1663" spans="1:17" x14ac:dyDescent="0.2">
      <c r="A1663" t="s">
        <v>331</v>
      </c>
      <c r="B1663" s="141">
        <f t="shared" si="27"/>
        <v>21.150000000000002</v>
      </c>
      <c r="C1663" s="280">
        <v>45887</v>
      </c>
      <c r="D1663" s="282"/>
      <c r="E1663" s="283"/>
      <c r="I1663" s="132" t="s">
        <v>4614</v>
      </c>
      <c r="J1663" s="132" t="s">
        <v>4627</v>
      </c>
      <c r="K1663" s="141" t="s">
        <v>2463</v>
      </c>
      <c r="L1663" s="132" t="s">
        <v>4634</v>
      </c>
      <c r="P1663" s="132" t="s">
        <v>4803</v>
      </c>
      <c r="Q1663" s="132" t="s">
        <v>4616</v>
      </c>
    </row>
    <row r="1664" spans="1:17" x14ac:dyDescent="0.2">
      <c r="A1664" t="s">
        <v>331</v>
      </c>
      <c r="B1664" s="141">
        <f t="shared" si="27"/>
        <v>21.28</v>
      </c>
      <c r="C1664" s="280">
        <v>45887</v>
      </c>
      <c r="D1664" s="282"/>
      <c r="E1664" s="283"/>
      <c r="F1664" s="132"/>
      <c r="I1664" s="132" t="s">
        <v>4614</v>
      </c>
      <c r="J1664" s="132" t="s">
        <v>4627</v>
      </c>
      <c r="K1664" s="646" t="s">
        <v>4628</v>
      </c>
      <c r="L1664" s="132" t="s">
        <v>4629</v>
      </c>
      <c r="P1664" s="281" t="s">
        <v>4804</v>
      </c>
      <c r="Q1664" s="132" t="s">
        <v>4616</v>
      </c>
    </row>
    <row r="1665" spans="1:17" x14ac:dyDescent="0.2">
      <c r="A1665" t="s">
        <v>331</v>
      </c>
      <c r="B1665" s="141">
        <f t="shared" si="27"/>
        <v>21.28</v>
      </c>
      <c r="C1665" s="280">
        <v>45887</v>
      </c>
      <c r="D1665" s="282"/>
      <c r="E1665" s="283"/>
      <c r="F1665" s="132"/>
      <c r="I1665" s="132" t="s">
        <v>4614</v>
      </c>
      <c r="J1665" s="132" t="s">
        <v>4627</v>
      </c>
      <c r="K1665" s="646" t="s">
        <v>4628</v>
      </c>
      <c r="L1665" s="132" t="s">
        <v>4629</v>
      </c>
      <c r="N1665" s="284"/>
      <c r="P1665" s="132" t="s">
        <v>4805</v>
      </c>
      <c r="Q1665" s="132" t="s">
        <v>4616</v>
      </c>
    </row>
    <row r="1666" spans="1:17" x14ac:dyDescent="0.2">
      <c r="A1666" t="s">
        <v>331</v>
      </c>
      <c r="B1666" s="141">
        <f t="shared" si="27"/>
        <v>21.28</v>
      </c>
      <c r="C1666" s="280">
        <v>45887</v>
      </c>
      <c r="D1666" s="282"/>
      <c r="E1666" s="283"/>
      <c r="F1666" s="132"/>
      <c r="I1666" s="132" t="s">
        <v>4614</v>
      </c>
      <c r="J1666" s="132" t="s">
        <v>4627</v>
      </c>
      <c r="K1666" s="646" t="s">
        <v>4628</v>
      </c>
      <c r="L1666" s="132" t="s">
        <v>4629</v>
      </c>
      <c r="P1666" s="132" t="s">
        <v>4806</v>
      </c>
      <c r="Q1666" s="132" t="s">
        <v>4616</v>
      </c>
    </row>
    <row r="1667" spans="1:17" x14ac:dyDescent="0.2">
      <c r="A1667" t="s">
        <v>81</v>
      </c>
      <c r="B1667" s="141">
        <f t="shared" si="27"/>
        <v>58.2</v>
      </c>
      <c r="C1667" s="280">
        <v>45887</v>
      </c>
      <c r="D1667" s="282"/>
      <c r="E1667" s="283"/>
      <c r="I1667" s="132" t="s">
        <v>4614</v>
      </c>
      <c r="J1667" s="132" t="s">
        <v>4623</v>
      </c>
      <c r="K1667" s="141" t="s">
        <v>4624</v>
      </c>
      <c r="L1667" s="132" t="s">
        <v>4625</v>
      </c>
      <c r="P1667" s="132" t="s">
        <v>4807</v>
      </c>
      <c r="Q1667" s="132" t="s">
        <v>4616</v>
      </c>
    </row>
    <row r="1668" spans="1:17" x14ac:dyDescent="0.2">
      <c r="A1668" t="s">
        <v>331</v>
      </c>
      <c r="B1668" s="141">
        <f t="shared" si="27"/>
        <v>21.28</v>
      </c>
      <c r="C1668" s="280">
        <v>45887</v>
      </c>
      <c r="D1668" s="282"/>
      <c r="E1668" s="283"/>
      <c r="F1668" s="132"/>
      <c r="I1668" s="132" t="s">
        <v>4614</v>
      </c>
      <c r="J1668" s="132" t="s">
        <v>4627</v>
      </c>
      <c r="K1668" s="646" t="s">
        <v>4628</v>
      </c>
      <c r="L1668" s="132" t="s">
        <v>4629</v>
      </c>
      <c r="P1668" s="132" t="s">
        <v>4808</v>
      </c>
      <c r="Q1668" s="132" t="s">
        <v>4616</v>
      </c>
    </row>
    <row r="1669" spans="1:17" x14ac:dyDescent="0.2">
      <c r="A1669" t="s">
        <v>331</v>
      </c>
      <c r="B1669" s="141">
        <f t="shared" si="27"/>
        <v>21.28</v>
      </c>
      <c r="C1669" s="280">
        <v>45888</v>
      </c>
      <c r="D1669" s="282"/>
      <c r="E1669" s="283"/>
      <c r="F1669" s="132"/>
      <c r="I1669" s="132" t="s">
        <v>4614</v>
      </c>
      <c r="J1669" s="132" t="s">
        <v>4627</v>
      </c>
      <c r="K1669" s="646" t="s">
        <v>4628</v>
      </c>
      <c r="L1669" s="132" t="s">
        <v>4629</v>
      </c>
      <c r="P1669" s="132" t="s">
        <v>4810</v>
      </c>
      <c r="Q1669" s="132" t="s">
        <v>4616</v>
      </c>
    </row>
    <row r="1670" spans="1:17" x14ac:dyDescent="0.2">
      <c r="A1670" t="s">
        <v>331</v>
      </c>
      <c r="B1670" s="141">
        <f t="shared" si="27"/>
        <v>21.28</v>
      </c>
      <c r="C1670" s="280">
        <v>45888</v>
      </c>
      <c r="D1670" s="282"/>
      <c r="E1670" s="283"/>
      <c r="F1670" s="132"/>
      <c r="I1670" s="132" t="s">
        <v>4614</v>
      </c>
      <c r="J1670" s="132" t="s">
        <v>4627</v>
      </c>
      <c r="K1670" s="646" t="s">
        <v>4628</v>
      </c>
      <c r="L1670" s="132" t="s">
        <v>4629</v>
      </c>
      <c r="P1670" s="132" t="s">
        <v>4812</v>
      </c>
      <c r="Q1670" s="132" t="s">
        <v>4616</v>
      </c>
    </row>
    <row r="1671" spans="1:17" x14ac:dyDescent="0.2">
      <c r="A1671" t="s">
        <v>331</v>
      </c>
      <c r="B1671" s="141">
        <f t="shared" si="27"/>
        <v>21.28</v>
      </c>
      <c r="C1671" s="280">
        <v>45888</v>
      </c>
      <c r="D1671" s="282"/>
      <c r="E1671" s="283"/>
      <c r="F1671" s="132"/>
      <c r="I1671" s="132" t="s">
        <v>4614</v>
      </c>
      <c r="J1671" s="132" t="s">
        <v>4627</v>
      </c>
      <c r="K1671" s="646" t="s">
        <v>4628</v>
      </c>
      <c r="L1671" s="132" t="s">
        <v>4629</v>
      </c>
      <c r="P1671" s="132" t="s">
        <v>4813</v>
      </c>
      <c r="Q1671" s="132" t="s">
        <v>4616</v>
      </c>
    </row>
    <row r="1672" spans="1:17" x14ac:dyDescent="0.2">
      <c r="A1672" t="s">
        <v>331</v>
      </c>
      <c r="B1672" s="141">
        <f t="shared" si="27"/>
        <v>21.28</v>
      </c>
      <c r="C1672" s="280">
        <v>45889</v>
      </c>
      <c r="D1672" s="282"/>
      <c r="E1672" s="283"/>
      <c r="F1672" s="132"/>
      <c r="I1672" s="132" t="s">
        <v>4614</v>
      </c>
      <c r="J1672" s="132" t="s">
        <v>4627</v>
      </c>
      <c r="K1672" s="646" t="s">
        <v>4628</v>
      </c>
      <c r="L1672" s="132" t="s">
        <v>4629</v>
      </c>
      <c r="P1672" s="132" t="s">
        <v>4815</v>
      </c>
      <c r="Q1672" s="132" t="s">
        <v>4616</v>
      </c>
    </row>
    <row r="1673" spans="1:17" x14ac:dyDescent="0.2">
      <c r="A1673" t="s">
        <v>331</v>
      </c>
      <c r="B1673" s="141">
        <f t="shared" si="27"/>
        <v>21.28</v>
      </c>
      <c r="C1673" s="280">
        <v>45889</v>
      </c>
      <c r="D1673" s="282"/>
      <c r="E1673" s="283"/>
      <c r="F1673" s="132"/>
      <c r="I1673" s="132" t="s">
        <v>4614</v>
      </c>
      <c r="J1673" s="132" t="s">
        <v>4627</v>
      </c>
      <c r="K1673" s="646" t="s">
        <v>4628</v>
      </c>
      <c r="L1673" s="132" t="s">
        <v>4629</v>
      </c>
      <c r="P1673" s="132" t="s">
        <v>4816</v>
      </c>
      <c r="Q1673" s="132" t="s">
        <v>4616</v>
      </c>
    </row>
    <row r="1674" spans="1:17" x14ac:dyDescent="0.2">
      <c r="A1674" t="s">
        <v>331</v>
      </c>
      <c r="B1674" s="141">
        <f t="shared" si="27"/>
        <v>21.28</v>
      </c>
      <c r="C1674" s="280">
        <v>45889</v>
      </c>
      <c r="D1674" s="282"/>
      <c r="E1674" s="283"/>
      <c r="F1674" s="132"/>
      <c r="I1674" s="132" t="s">
        <v>4614</v>
      </c>
      <c r="J1674" s="132" t="s">
        <v>4627</v>
      </c>
      <c r="K1674" s="646" t="s">
        <v>4628</v>
      </c>
      <c r="L1674" s="132" t="s">
        <v>4629</v>
      </c>
      <c r="P1674" s="132" t="s">
        <v>4818</v>
      </c>
      <c r="Q1674" s="132" t="s">
        <v>4616</v>
      </c>
    </row>
    <row r="1675" spans="1:17" x14ac:dyDescent="0.2">
      <c r="A1675" t="s">
        <v>331</v>
      </c>
      <c r="B1675" s="141">
        <f t="shared" si="27"/>
        <v>21.150000000000002</v>
      </c>
      <c r="C1675" s="280">
        <v>45889</v>
      </c>
      <c r="D1675" s="282"/>
      <c r="E1675" s="283"/>
      <c r="F1675" s="132"/>
      <c r="I1675" s="132" t="s">
        <v>4614</v>
      </c>
      <c r="J1675" s="132" t="s">
        <v>4627</v>
      </c>
      <c r="K1675" s="141" t="s">
        <v>2463</v>
      </c>
      <c r="L1675" s="132" t="s">
        <v>4634</v>
      </c>
      <c r="P1675" s="132" t="s">
        <v>4819</v>
      </c>
      <c r="Q1675" s="132" t="s">
        <v>4616</v>
      </c>
    </row>
    <row r="1676" spans="1:17" x14ac:dyDescent="0.2">
      <c r="A1676" t="s">
        <v>331</v>
      </c>
      <c r="B1676" s="141">
        <f t="shared" si="27"/>
        <v>21.28</v>
      </c>
      <c r="C1676" s="280">
        <v>45889</v>
      </c>
      <c r="D1676" s="282"/>
      <c r="E1676" s="283"/>
      <c r="F1676" s="132"/>
      <c r="I1676" s="132" t="s">
        <v>4614</v>
      </c>
      <c r="J1676" s="132" t="s">
        <v>4627</v>
      </c>
      <c r="K1676" s="646" t="s">
        <v>4628</v>
      </c>
      <c r="L1676" s="132" t="s">
        <v>4629</v>
      </c>
      <c r="P1676" s="132" t="s">
        <v>4821</v>
      </c>
      <c r="Q1676" s="132" t="s">
        <v>4616</v>
      </c>
    </row>
    <row r="1677" spans="1:17" x14ac:dyDescent="0.2">
      <c r="A1677" t="s">
        <v>331</v>
      </c>
      <c r="B1677" s="141">
        <f t="shared" si="27"/>
        <v>21.28</v>
      </c>
      <c r="C1677" s="280">
        <v>45889</v>
      </c>
      <c r="D1677" s="282"/>
      <c r="E1677" s="283"/>
      <c r="F1677" s="132"/>
      <c r="I1677" s="132" t="s">
        <v>4614</v>
      </c>
      <c r="J1677" s="132" t="s">
        <v>4627</v>
      </c>
      <c r="K1677" s="646" t="s">
        <v>4628</v>
      </c>
      <c r="L1677" s="132" t="s">
        <v>4629</v>
      </c>
      <c r="P1677" s="132" t="s">
        <v>4822</v>
      </c>
      <c r="Q1677" s="132" t="s">
        <v>4616</v>
      </c>
    </row>
    <row r="1678" spans="1:17" x14ac:dyDescent="0.2">
      <c r="A1678" t="s">
        <v>331</v>
      </c>
      <c r="B1678" s="141">
        <f t="shared" si="27"/>
        <v>21.28</v>
      </c>
      <c r="C1678" s="280">
        <v>45889</v>
      </c>
      <c r="D1678" s="282"/>
      <c r="E1678" s="283"/>
      <c r="F1678" s="132"/>
      <c r="I1678" s="132" t="s">
        <v>4614</v>
      </c>
      <c r="J1678" s="132" t="s">
        <v>4627</v>
      </c>
      <c r="K1678" s="646" t="s">
        <v>4628</v>
      </c>
      <c r="L1678" s="132" t="s">
        <v>4629</v>
      </c>
      <c r="P1678" s="132" t="s">
        <v>4823</v>
      </c>
      <c r="Q1678" s="132" t="s">
        <v>4616</v>
      </c>
    </row>
    <row r="1679" spans="1:17" x14ac:dyDescent="0.2">
      <c r="A1679" t="s">
        <v>331</v>
      </c>
      <c r="B1679" s="141">
        <f t="shared" si="27"/>
        <v>21.28</v>
      </c>
      <c r="C1679" s="280">
        <v>45889</v>
      </c>
      <c r="D1679" s="282"/>
      <c r="E1679" s="283"/>
      <c r="F1679" s="132"/>
      <c r="I1679" s="132" t="s">
        <v>4614</v>
      </c>
      <c r="J1679" s="132" t="s">
        <v>4627</v>
      </c>
      <c r="K1679" s="646" t="s">
        <v>4628</v>
      </c>
      <c r="L1679" s="132" t="s">
        <v>4629</v>
      </c>
      <c r="P1679" s="132" t="s">
        <v>4825</v>
      </c>
      <c r="Q1679" s="132" t="s">
        <v>4616</v>
      </c>
    </row>
    <row r="1680" spans="1:17" x14ac:dyDescent="0.2">
      <c r="A1680" t="s">
        <v>331</v>
      </c>
      <c r="B1680" s="141">
        <f t="shared" si="27"/>
        <v>21.28</v>
      </c>
      <c r="C1680" s="280">
        <v>45889</v>
      </c>
      <c r="D1680" s="282"/>
      <c r="E1680" s="283"/>
      <c r="F1680" s="132"/>
      <c r="I1680" s="132" t="s">
        <v>4614</v>
      </c>
      <c r="J1680" s="132" t="s">
        <v>4627</v>
      </c>
      <c r="K1680" s="646" t="s">
        <v>4628</v>
      </c>
      <c r="L1680" s="132" t="s">
        <v>4629</v>
      </c>
      <c r="P1680" s="132" t="s">
        <v>4826</v>
      </c>
      <c r="Q1680" s="132" t="s">
        <v>4616</v>
      </c>
    </row>
    <row r="1681" spans="1:17" x14ac:dyDescent="0.2">
      <c r="A1681" t="s">
        <v>331</v>
      </c>
      <c r="B1681" s="141">
        <f t="shared" si="27"/>
        <v>21.150000000000002</v>
      </c>
      <c r="C1681" s="280">
        <v>45890</v>
      </c>
      <c r="D1681" s="282"/>
      <c r="E1681" s="283"/>
      <c r="F1681" s="132"/>
      <c r="I1681" s="132" t="s">
        <v>4614</v>
      </c>
      <c r="J1681" s="132" t="s">
        <v>4627</v>
      </c>
      <c r="K1681" s="141" t="s">
        <v>2463</v>
      </c>
      <c r="L1681" s="132" t="s">
        <v>4634</v>
      </c>
      <c r="P1681" s="132" t="s">
        <v>4827</v>
      </c>
      <c r="Q1681" s="132" t="s">
        <v>4616</v>
      </c>
    </row>
    <row r="1682" spans="1:17" x14ac:dyDescent="0.2">
      <c r="A1682" t="s">
        <v>331</v>
      </c>
      <c r="B1682" s="141">
        <f t="shared" si="27"/>
        <v>21.150000000000002</v>
      </c>
      <c r="C1682" s="280">
        <v>45890</v>
      </c>
      <c r="D1682" s="282"/>
      <c r="E1682" s="283"/>
      <c r="F1682" s="132"/>
      <c r="I1682" s="132" t="s">
        <v>4614</v>
      </c>
      <c r="J1682" s="132" t="s">
        <v>4627</v>
      </c>
      <c r="K1682" s="141" t="s">
        <v>2463</v>
      </c>
      <c r="L1682" s="132" t="s">
        <v>4634</v>
      </c>
      <c r="P1682" s="132" t="s">
        <v>4828</v>
      </c>
      <c r="Q1682" s="132" t="s">
        <v>4616</v>
      </c>
    </row>
    <row r="1683" spans="1:17" x14ac:dyDescent="0.2">
      <c r="A1683" t="s">
        <v>331</v>
      </c>
      <c r="B1683" s="141">
        <f t="shared" si="27"/>
        <v>21.28</v>
      </c>
      <c r="C1683" s="280">
        <v>45890</v>
      </c>
      <c r="D1683" s="282"/>
      <c r="E1683" s="283"/>
      <c r="F1683" s="132"/>
      <c r="I1683" s="132" t="s">
        <v>4614</v>
      </c>
      <c r="J1683" s="132" t="s">
        <v>4627</v>
      </c>
      <c r="K1683" s="646" t="s">
        <v>4628</v>
      </c>
      <c r="L1683" s="132" t="s">
        <v>4629</v>
      </c>
      <c r="P1683" s="132" t="s">
        <v>4830</v>
      </c>
      <c r="Q1683" s="132" t="s">
        <v>4616</v>
      </c>
    </row>
    <row r="1684" spans="1:17" x14ac:dyDescent="0.2">
      <c r="A1684" t="s">
        <v>331</v>
      </c>
      <c r="B1684" s="141">
        <f t="shared" si="27"/>
        <v>21.150000000000002</v>
      </c>
      <c r="C1684" s="280">
        <v>45890</v>
      </c>
      <c r="D1684" s="282"/>
      <c r="E1684" s="283"/>
      <c r="F1684" s="132"/>
      <c r="I1684" s="132" t="s">
        <v>4614</v>
      </c>
      <c r="J1684" s="132" t="s">
        <v>4627</v>
      </c>
      <c r="K1684" s="141" t="s">
        <v>2463</v>
      </c>
      <c r="L1684" s="132" t="s">
        <v>4634</v>
      </c>
      <c r="P1684" s="132" t="s">
        <v>4831</v>
      </c>
      <c r="Q1684" s="132" t="s">
        <v>4616</v>
      </c>
    </row>
    <row r="1685" spans="1:17" x14ac:dyDescent="0.2">
      <c r="A1685" t="s">
        <v>331</v>
      </c>
      <c r="B1685" s="141">
        <f t="shared" si="27"/>
        <v>21.150000000000002</v>
      </c>
      <c r="C1685" s="280">
        <v>45890</v>
      </c>
      <c r="D1685" s="282"/>
      <c r="E1685" s="283"/>
      <c r="F1685" s="132"/>
      <c r="I1685" s="132" t="s">
        <v>4614</v>
      </c>
      <c r="J1685" s="132" t="s">
        <v>4627</v>
      </c>
      <c r="K1685" s="141" t="s">
        <v>2463</v>
      </c>
      <c r="L1685" s="132" t="s">
        <v>4634</v>
      </c>
      <c r="P1685" s="132" t="s">
        <v>4832</v>
      </c>
      <c r="Q1685" s="132" t="s">
        <v>4616</v>
      </c>
    </row>
    <row r="1686" spans="1:17" x14ac:dyDescent="0.2">
      <c r="A1686" t="s">
        <v>331</v>
      </c>
      <c r="B1686" s="141">
        <f t="shared" si="27"/>
        <v>21.28</v>
      </c>
      <c r="C1686" s="280">
        <v>45890</v>
      </c>
      <c r="D1686" s="282"/>
      <c r="E1686" s="283"/>
      <c r="F1686" s="132"/>
      <c r="I1686" s="132" t="s">
        <v>4614</v>
      </c>
      <c r="J1686" s="132" t="s">
        <v>4627</v>
      </c>
      <c r="K1686" s="646" t="s">
        <v>4628</v>
      </c>
      <c r="L1686" s="132" t="s">
        <v>4629</v>
      </c>
      <c r="P1686" s="281" t="s">
        <v>4833</v>
      </c>
      <c r="Q1686" s="132" t="s">
        <v>4616</v>
      </c>
    </row>
    <row r="1687" spans="1:17" x14ac:dyDescent="0.2">
      <c r="A1687" t="s">
        <v>331</v>
      </c>
      <c r="B1687" s="141">
        <f t="shared" si="27"/>
        <v>21.28</v>
      </c>
      <c r="C1687" s="280">
        <v>45890</v>
      </c>
      <c r="D1687" s="282"/>
      <c r="E1687" s="283"/>
      <c r="F1687" s="132"/>
      <c r="I1687" s="132" t="s">
        <v>4614</v>
      </c>
      <c r="J1687" s="132" t="s">
        <v>4627</v>
      </c>
      <c r="K1687" s="646" t="s">
        <v>4628</v>
      </c>
      <c r="L1687" s="132" t="s">
        <v>4629</v>
      </c>
      <c r="P1687" s="132" t="s">
        <v>4835</v>
      </c>
      <c r="Q1687" s="132" t="s">
        <v>4616</v>
      </c>
    </row>
    <row r="1688" spans="1:17" x14ac:dyDescent="0.2">
      <c r="A1688" t="s">
        <v>331</v>
      </c>
      <c r="B1688" s="141">
        <f t="shared" si="27"/>
        <v>21.28</v>
      </c>
      <c r="C1688" s="280">
        <v>45891</v>
      </c>
      <c r="D1688" s="282"/>
      <c r="E1688" s="283"/>
      <c r="F1688" s="132"/>
      <c r="I1688" s="132" t="s">
        <v>4614</v>
      </c>
      <c r="J1688" s="132" t="s">
        <v>4627</v>
      </c>
      <c r="K1688" s="646" t="s">
        <v>4628</v>
      </c>
      <c r="L1688" s="132" t="s">
        <v>4629</v>
      </c>
      <c r="P1688" s="281" t="s">
        <v>4836</v>
      </c>
      <c r="Q1688" s="132" t="s">
        <v>4616</v>
      </c>
    </row>
    <row r="1689" spans="1:17" x14ac:dyDescent="0.2">
      <c r="A1689" t="s">
        <v>331</v>
      </c>
      <c r="B1689" s="141">
        <f t="shared" si="27"/>
        <v>21.28</v>
      </c>
      <c r="C1689" s="280">
        <v>45891</v>
      </c>
      <c r="D1689" s="282"/>
      <c r="E1689" s="283"/>
      <c r="F1689" s="132"/>
      <c r="I1689" s="132" t="s">
        <v>4614</v>
      </c>
      <c r="J1689" s="132" t="s">
        <v>4627</v>
      </c>
      <c r="K1689" s="646" t="s">
        <v>4628</v>
      </c>
      <c r="L1689" s="132" t="s">
        <v>4629</v>
      </c>
      <c r="P1689" s="132" t="s">
        <v>4837</v>
      </c>
      <c r="Q1689" s="132" t="s">
        <v>4616</v>
      </c>
    </row>
    <row r="1690" spans="1:17" x14ac:dyDescent="0.2">
      <c r="A1690" t="s">
        <v>331</v>
      </c>
      <c r="B1690" s="141">
        <f t="shared" si="27"/>
        <v>21.28</v>
      </c>
      <c r="C1690" s="280">
        <v>45891</v>
      </c>
      <c r="D1690" s="282"/>
      <c r="E1690" s="283"/>
      <c r="F1690" s="132"/>
      <c r="I1690" s="132" t="s">
        <v>4614</v>
      </c>
      <c r="J1690" s="132" t="s">
        <v>4627</v>
      </c>
      <c r="K1690" s="646" t="s">
        <v>4628</v>
      </c>
      <c r="L1690" s="132" t="s">
        <v>4629</v>
      </c>
      <c r="P1690" s="132" t="s">
        <v>4838</v>
      </c>
      <c r="Q1690" s="132" t="s">
        <v>4616</v>
      </c>
    </row>
    <row r="1691" spans="1:17" x14ac:dyDescent="0.2">
      <c r="A1691" t="s">
        <v>331</v>
      </c>
      <c r="B1691" s="141">
        <f t="shared" si="27"/>
        <v>21.28</v>
      </c>
      <c r="C1691" s="280">
        <v>45891</v>
      </c>
      <c r="D1691" s="282"/>
      <c r="E1691" s="283"/>
      <c r="F1691" s="132"/>
      <c r="I1691" s="132" t="s">
        <v>4614</v>
      </c>
      <c r="J1691" s="132" t="s">
        <v>4627</v>
      </c>
      <c r="K1691" s="646" t="s">
        <v>4628</v>
      </c>
      <c r="L1691" s="132" t="s">
        <v>4629</v>
      </c>
      <c r="P1691" s="132" t="s">
        <v>4840</v>
      </c>
      <c r="Q1691" s="132" t="s">
        <v>4616</v>
      </c>
    </row>
    <row r="1692" spans="1:17" x14ac:dyDescent="0.2">
      <c r="A1692" t="s">
        <v>331</v>
      </c>
      <c r="B1692" s="141">
        <f t="shared" si="27"/>
        <v>21.150000000000002</v>
      </c>
      <c r="C1692" s="280">
        <v>45891</v>
      </c>
      <c r="D1692" s="282"/>
      <c r="E1692" s="283"/>
      <c r="F1692" s="132"/>
      <c r="I1692" s="132" t="s">
        <v>4614</v>
      </c>
      <c r="J1692" s="132" t="s">
        <v>4627</v>
      </c>
      <c r="K1692" s="141" t="s">
        <v>2463</v>
      </c>
      <c r="L1692" s="132" t="s">
        <v>4634</v>
      </c>
      <c r="P1692" s="132" t="s">
        <v>4841</v>
      </c>
      <c r="Q1692" s="132" t="s">
        <v>4616</v>
      </c>
    </row>
    <row r="1693" spans="1:17" x14ac:dyDescent="0.2">
      <c r="A1693" t="s">
        <v>331</v>
      </c>
      <c r="B1693" s="141">
        <f t="shared" si="27"/>
        <v>21.150000000000002</v>
      </c>
      <c r="C1693" s="280">
        <v>45891</v>
      </c>
      <c r="D1693" s="282"/>
      <c r="E1693" s="283"/>
      <c r="F1693" s="132"/>
      <c r="I1693" s="132" t="s">
        <v>4614</v>
      </c>
      <c r="J1693" s="132" t="s">
        <v>4627</v>
      </c>
      <c r="K1693" s="141" t="s">
        <v>2463</v>
      </c>
      <c r="L1693" s="132" t="s">
        <v>4634</v>
      </c>
      <c r="P1693" s="132" t="s">
        <v>4842</v>
      </c>
      <c r="Q1693" s="132" t="s">
        <v>4616</v>
      </c>
    </row>
    <row r="1694" spans="1:17" x14ac:dyDescent="0.2">
      <c r="A1694" t="s">
        <v>331</v>
      </c>
      <c r="B1694" s="141">
        <f t="shared" si="27"/>
        <v>21.28</v>
      </c>
      <c r="C1694" s="280">
        <v>45891</v>
      </c>
      <c r="D1694" s="282"/>
      <c r="E1694" s="283"/>
      <c r="F1694" s="132"/>
      <c r="I1694" s="132" t="s">
        <v>4614</v>
      </c>
      <c r="J1694" s="132" t="s">
        <v>4627</v>
      </c>
      <c r="K1694" s="646" t="s">
        <v>4628</v>
      </c>
      <c r="L1694" s="132" t="s">
        <v>4629</v>
      </c>
      <c r="P1694" s="132" t="s">
        <v>4843</v>
      </c>
      <c r="Q1694" s="132" t="s">
        <v>4616</v>
      </c>
    </row>
    <row r="1695" spans="1:17" x14ac:dyDescent="0.2">
      <c r="A1695" t="s">
        <v>331</v>
      </c>
      <c r="B1695" s="141">
        <f t="shared" si="27"/>
        <v>21.150000000000002</v>
      </c>
      <c r="C1695" s="280">
        <v>45891</v>
      </c>
      <c r="D1695" s="282"/>
      <c r="E1695" s="283"/>
      <c r="F1695" s="132"/>
      <c r="I1695" s="132" t="s">
        <v>4614</v>
      </c>
      <c r="J1695" s="132" t="s">
        <v>4627</v>
      </c>
      <c r="K1695" s="141" t="s">
        <v>2463</v>
      </c>
      <c r="L1695" s="132" t="s">
        <v>4634</v>
      </c>
      <c r="P1695" s="132" t="s">
        <v>4844</v>
      </c>
      <c r="Q1695" s="132" t="s">
        <v>4616</v>
      </c>
    </row>
    <row r="1696" spans="1:17" x14ac:dyDescent="0.2">
      <c r="A1696" t="s">
        <v>331</v>
      </c>
      <c r="B1696" s="141">
        <f t="shared" si="27"/>
        <v>21.02</v>
      </c>
      <c r="C1696" s="280">
        <v>45891</v>
      </c>
      <c r="D1696" s="282"/>
      <c r="E1696" s="283"/>
      <c r="F1696" s="132"/>
      <c r="I1696" s="132" t="s">
        <v>4614</v>
      </c>
      <c r="J1696" s="132" t="s">
        <v>4627</v>
      </c>
      <c r="K1696" s="141" t="s">
        <v>3850</v>
      </c>
      <c r="L1696" s="132" t="s">
        <v>4724</v>
      </c>
      <c r="P1696" s="132" t="s">
        <v>4846</v>
      </c>
      <c r="Q1696" s="132" t="s">
        <v>4616</v>
      </c>
    </row>
    <row r="1697" spans="1:17" x14ac:dyDescent="0.2">
      <c r="A1697" t="s">
        <v>331</v>
      </c>
      <c r="B1697" s="141">
        <f t="shared" si="27"/>
        <v>21.28</v>
      </c>
      <c r="C1697" s="280">
        <v>45891</v>
      </c>
      <c r="D1697" s="282"/>
      <c r="E1697" s="283"/>
      <c r="F1697" s="132"/>
      <c r="I1697" s="132" t="s">
        <v>4614</v>
      </c>
      <c r="J1697" s="132" t="s">
        <v>4627</v>
      </c>
      <c r="K1697" s="646" t="s">
        <v>4628</v>
      </c>
      <c r="L1697" s="132" t="s">
        <v>4629</v>
      </c>
      <c r="P1697" s="132" t="s">
        <v>4848</v>
      </c>
      <c r="Q1697" s="132" t="s">
        <v>4616</v>
      </c>
    </row>
    <row r="1698" spans="1:17" x14ac:dyDescent="0.2">
      <c r="A1698" t="s">
        <v>81</v>
      </c>
      <c r="B1698" s="141">
        <f t="shared" si="27"/>
        <v>58.56</v>
      </c>
      <c r="C1698" s="280">
        <v>45891</v>
      </c>
      <c r="D1698" s="282"/>
      <c r="E1698" s="283"/>
      <c r="F1698" s="132"/>
      <c r="I1698" s="132" t="s">
        <v>4614</v>
      </c>
      <c r="J1698" s="132" t="s">
        <v>4623</v>
      </c>
      <c r="K1698" s="141" t="s">
        <v>4672</v>
      </c>
      <c r="L1698" s="132" t="s">
        <v>4673</v>
      </c>
      <c r="P1698" s="132" t="s">
        <v>4849</v>
      </c>
      <c r="Q1698" s="132" t="s">
        <v>4616</v>
      </c>
    </row>
    <row r="1699" spans="1:17" x14ac:dyDescent="0.2">
      <c r="A1699" t="s">
        <v>331</v>
      </c>
      <c r="B1699" s="141">
        <f t="shared" si="27"/>
        <v>21.28</v>
      </c>
      <c r="C1699" s="280">
        <v>45891</v>
      </c>
      <c r="D1699" s="282"/>
      <c r="E1699" s="283"/>
      <c r="F1699" s="132"/>
      <c r="I1699" s="132" t="s">
        <v>4614</v>
      </c>
      <c r="J1699" s="132" t="s">
        <v>4627</v>
      </c>
      <c r="K1699" s="646" t="s">
        <v>4628</v>
      </c>
      <c r="L1699" s="132" t="s">
        <v>4629</v>
      </c>
      <c r="P1699" s="132" t="s">
        <v>4850</v>
      </c>
      <c r="Q1699" s="132" t="s">
        <v>4616</v>
      </c>
    </row>
    <row r="1700" spans="1:17" x14ac:dyDescent="0.2">
      <c r="A1700" t="s">
        <v>331</v>
      </c>
      <c r="B1700" s="141">
        <f t="shared" si="27"/>
        <v>21.28</v>
      </c>
      <c r="C1700" s="280">
        <v>45891</v>
      </c>
      <c r="D1700" s="282"/>
      <c r="E1700" s="283"/>
      <c r="F1700" s="132"/>
      <c r="I1700" s="132" t="s">
        <v>4614</v>
      </c>
      <c r="J1700" s="132" t="s">
        <v>4627</v>
      </c>
      <c r="K1700" s="646" t="s">
        <v>4628</v>
      </c>
      <c r="L1700" s="132" t="s">
        <v>4629</v>
      </c>
      <c r="P1700" s="132" t="s">
        <v>4851</v>
      </c>
      <c r="Q1700" s="132" t="s">
        <v>4616</v>
      </c>
    </row>
    <row r="1701" spans="1:17" x14ac:dyDescent="0.2">
      <c r="A1701" t="s">
        <v>331</v>
      </c>
      <c r="B1701" s="141">
        <f t="shared" si="27"/>
        <v>21.28</v>
      </c>
      <c r="C1701" s="280">
        <v>45891</v>
      </c>
      <c r="D1701" s="282"/>
      <c r="E1701" s="283"/>
      <c r="F1701" s="132"/>
      <c r="I1701" s="132" t="s">
        <v>4614</v>
      </c>
      <c r="J1701" s="132" t="s">
        <v>4627</v>
      </c>
      <c r="K1701" s="646" t="s">
        <v>4628</v>
      </c>
      <c r="L1701" s="132" t="s">
        <v>4629</v>
      </c>
      <c r="P1701" s="132" t="s">
        <v>4852</v>
      </c>
      <c r="Q1701" s="132" t="s">
        <v>4616</v>
      </c>
    </row>
    <row r="1702" spans="1:17" x14ac:dyDescent="0.2">
      <c r="A1702" t="s">
        <v>331</v>
      </c>
      <c r="B1702" s="141">
        <f t="shared" si="27"/>
        <v>21.28</v>
      </c>
      <c r="C1702" s="280">
        <v>45891</v>
      </c>
      <c r="D1702" s="282"/>
      <c r="E1702" s="283"/>
      <c r="F1702" s="132"/>
      <c r="I1702" s="132" t="s">
        <v>4614</v>
      </c>
      <c r="J1702" s="132" t="s">
        <v>4627</v>
      </c>
      <c r="K1702" s="646" t="s">
        <v>4628</v>
      </c>
      <c r="L1702" s="132" t="s">
        <v>4629</v>
      </c>
      <c r="P1702" s="132" t="s">
        <v>4853</v>
      </c>
      <c r="Q1702" s="132" t="s">
        <v>4616</v>
      </c>
    </row>
    <row r="1703" spans="1:17" x14ac:dyDescent="0.2">
      <c r="A1703" t="s">
        <v>331</v>
      </c>
      <c r="B1703" s="141">
        <f t="shared" si="27"/>
        <v>21.28</v>
      </c>
      <c r="C1703" s="280">
        <v>45892</v>
      </c>
      <c r="D1703" s="282"/>
      <c r="E1703" s="283"/>
      <c r="F1703" s="132"/>
      <c r="I1703" s="132" t="s">
        <v>4614</v>
      </c>
      <c r="J1703" s="132" t="s">
        <v>4627</v>
      </c>
      <c r="K1703" s="646" t="s">
        <v>4628</v>
      </c>
      <c r="L1703" s="132" t="s">
        <v>4629</v>
      </c>
      <c r="M1703" s="284"/>
      <c r="P1703" s="132" t="s">
        <v>4854</v>
      </c>
      <c r="Q1703" s="132" t="s">
        <v>4616</v>
      </c>
    </row>
    <row r="1704" spans="1:17" x14ac:dyDescent="0.2">
      <c r="A1704" t="s">
        <v>331</v>
      </c>
      <c r="B1704" s="141">
        <f t="shared" si="27"/>
        <v>21.28</v>
      </c>
      <c r="C1704" s="280">
        <v>45892</v>
      </c>
      <c r="D1704" s="282"/>
      <c r="E1704" s="283"/>
      <c r="F1704" s="132"/>
      <c r="I1704" s="132" t="s">
        <v>4614</v>
      </c>
      <c r="J1704" s="132" t="s">
        <v>4627</v>
      </c>
      <c r="K1704" s="646" t="s">
        <v>4628</v>
      </c>
      <c r="L1704" s="132" t="s">
        <v>4629</v>
      </c>
      <c r="P1704" s="132" t="s">
        <v>4856</v>
      </c>
      <c r="Q1704" s="132" t="s">
        <v>4616</v>
      </c>
    </row>
    <row r="1705" spans="1:17" x14ac:dyDescent="0.2">
      <c r="A1705" t="s">
        <v>331</v>
      </c>
      <c r="B1705" s="141">
        <f t="shared" si="27"/>
        <v>21.28</v>
      </c>
      <c r="C1705" s="280">
        <v>45892</v>
      </c>
      <c r="D1705" s="282"/>
      <c r="E1705" s="283"/>
      <c r="F1705" s="132"/>
      <c r="I1705" s="132" t="s">
        <v>4614</v>
      </c>
      <c r="J1705" s="132" t="s">
        <v>4627</v>
      </c>
      <c r="K1705" s="646" t="s">
        <v>4628</v>
      </c>
      <c r="L1705" s="132" t="s">
        <v>4629</v>
      </c>
      <c r="P1705" s="132" t="s">
        <v>4857</v>
      </c>
      <c r="Q1705" s="132" t="s">
        <v>4616</v>
      </c>
    </row>
    <row r="1706" spans="1:17" x14ac:dyDescent="0.2">
      <c r="A1706" t="s">
        <v>331</v>
      </c>
      <c r="B1706" s="141">
        <f t="shared" si="27"/>
        <v>21.28</v>
      </c>
      <c r="C1706" s="280">
        <v>45892</v>
      </c>
      <c r="D1706" s="282"/>
      <c r="E1706" s="283"/>
      <c r="F1706" s="132"/>
      <c r="I1706" s="132" t="s">
        <v>4614</v>
      </c>
      <c r="J1706" s="132" t="s">
        <v>4627</v>
      </c>
      <c r="K1706" s="646" t="s">
        <v>4628</v>
      </c>
      <c r="L1706" s="132" t="s">
        <v>4629</v>
      </c>
      <c r="P1706" s="132" t="s">
        <v>4859</v>
      </c>
      <c r="Q1706" s="132" t="s">
        <v>4616</v>
      </c>
    </row>
    <row r="1707" spans="1:17" x14ac:dyDescent="0.2">
      <c r="A1707" t="s">
        <v>331</v>
      </c>
      <c r="B1707" s="141">
        <f t="shared" si="27"/>
        <v>21.28</v>
      </c>
      <c r="C1707" s="280">
        <v>45892</v>
      </c>
      <c r="D1707" s="282"/>
      <c r="E1707" s="283"/>
      <c r="F1707" s="132"/>
      <c r="I1707" s="132" t="s">
        <v>4614</v>
      </c>
      <c r="J1707" s="132" t="s">
        <v>4627</v>
      </c>
      <c r="K1707" s="646" t="s">
        <v>4628</v>
      </c>
      <c r="L1707" s="132" t="s">
        <v>4629</v>
      </c>
      <c r="P1707" s="132" t="s">
        <v>4860</v>
      </c>
      <c r="Q1707" s="132" t="s">
        <v>4616</v>
      </c>
    </row>
    <row r="1708" spans="1:17" x14ac:dyDescent="0.2">
      <c r="A1708" t="s">
        <v>331</v>
      </c>
      <c r="B1708" s="141">
        <f t="shared" si="27"/>
        <v>21.28</v>
      </c>
      <c r="C1708" s="280">
        <v>45892</v>
      </c>
      <c r="D1708" s="282"/>
      <c r="E1708" s="283"/>
      <c r="F1708" s="132"/>
      <c r="I1708" s="132" t="s">
        <v>4614</v>
      </c>
      <c r="J1708" s="132" t="s">
        <v>4627</v>
      </c>
      <c r="K1708" s="646" t="s">
        <v>4628</v>
      </c>
      <c r="L1708" s="132" t="s">
        <v>4629</v>
      </c>
      <c r="P1708" s="132" t="s">
        <v>4861</v>
      </c>
      <c r="Q1708" s="132" t="s">
        <v>4616</v>
      </c>
    </row>
    <row r="1709" spans="1:17" x14ac:dyDescent="0.2">
      <c r="A1709" t="s">
        <v>331</v>
      </c>
      <c r="B1709" s="141">
        <f t="shared" si="27"/>
        <v>21.28</v>
      </c>
      <c r="C1709" s="280">
        <v>45892</v>
      </c>
      <c r="D1709" s="282"/>
      <c r="E1709" s="283"/>
      <c r="F1709" s="132"/>
      <c r="I1709" s="132" t="s">
        <v>4614</v>
      </c>
      <c r="J1709" s="132" t="s">
        <v>4627</v>
      </c>
      <c r="K1709" s="646" t="s">
        <v>4628</v>
      </c>
      <c r="L1709" s="132" t="s">
        <v>4629</v>
      </c>
      <c r="M1709" s="284"/>
      <c r="P1709" s="132" t="s">
        <v>4862</v>
      </c>
      <c r="Q1709" s="132" t="s">
        <v>4616</v>
      </c>
    </row>
    <row r="1710" spans="1:17" x14ac:dyDescent="0.2">
      <c r="A1710" t="s">
        <v>331</v>
      </c>
      <c r="B1710" s="141">
        <f t="shared" si="27"/>
        <v>21.150000000000002</v>
      </c>
      <c r="C1710" s="280">
        <v>45892</v>
      </c>
      <c r="D1710" s="282"/>
      <c r="E1710" s="283"/>
      <c r="F1710" s="132"/>
      <c r="I1710" s="132" t="s">
        <v>4614</v>
      </c>
      <c r="J1710" s="132" t="s">
        <v>4627</v>
      </c>
      <c r="K1710" s="141" t="s">
        <v>2463</v>
      </c>
      <c r="L1710" s="132" t="s">
        <v>4634</v>
      </c>
      <c r="N1710" s="284"/>
      <c r="P1710" s="132" t="s">
        <v>4863</v>
      </c>
      <c r="Q1710" s="132" t="s">
        <v>4616</v>
      </c>
    </row>
    <row r="1711" spans="1:17" x14ac:dyDescent="0.2">
      <c r="A1711" t="s">
        <v>331</v>
      </c>
      <c r="B1711" s="141">
        <f t="shared" si="27"/>
        <v>21.28</v>
      </c>
      <c r="C1711" s="280">
        <v>45892</v>
      </c>
      <c r="D1711" s="282"/>
      <c r="E1711" s="283"/>
      <c r="F1711" s="132"/>
      <c r="I1711" s="132" t="s">
        <v>4614</v>
      </c>
      <c r="J1711" s="132" t="s">
        <v>4627</v>
      </c>
      <c r="K1711" s="646" t="s">
        <v>4628</v>
      </c>
      <c r="L1711" s="132" t="s">
        <v>4629</v>
      </c>
      <c r="P1711" s="132" t="s">
        <v>4865</v>
      </c>
      <c r="Q1711" s="132" t="s">
        <v>4616</v>
      </c>
    </row>
    <row r="1712" spans="1:17" x14ac:dyDescent="0.2">
      <c r="A1712" t="s">
        <v>331</v>
      </c>
      <c r="B1712" s="141">
        <f t="shared" ref="B1712:B1773" si="28">_xlfn.NUMBERVALUE(L1712)*0.01</f>
        <v>21.28</v>
      </c>
      <c r="C1712" s="280">
        <v>45893</v>
      </c>
      <c r="D1712" s="282"/>
      <c r="E1712" s="283"/>
      <c r="I1712" s="132" t="s">
        <v>4614</v>
      </c>
      <c r="J1712" s="132" t="s">
        <v>4627</v>
      </c>
      <c r="K1712" s="646" t="s">
        <v>4628</v>
      </c>
      <c r="L1712" s="132" t="s">
        <v>4629</v>
      </c>
      <c r="P1712" s="132" t="s">
        <v>4867</v>
      </c>
      <c r="Q1712" s="132" t="s">
        <v>4616</v>
      </c>
    </row>
    <row r="1713" spans="1:17" x14ac:dyDescent="0.2">
      <c r="A1713" t="s">
        <v>331</v>
      </c>
      <c r="B1713" s="141">
        <f t="shared" si="28"/>
        <v>21.28</v>
      </c>
      <c r="C1713" s="280">
        <v>45893</v>
      </c>
      <c r="D1713" s="282"/>
      <c r="E1713" s="283"/>
      <c r="I1713" s="132" t="s">
        <v>4614</v>
      </c>
      <c r="J1713" s="132" t="s">
        <v>4627</v>
      </c>
      <c r="K1713" s="646" t="s">
        <v>4628</v>
      </c>
      <c r="L1713" s="132" t="s">
        <v>4629</v>
      </c>
      <c r="P1713" s="132" t="s">
        <v>4868</v>
      </c>
      <c r="Q1713" s="132" t="s">
        <v>4616</v>
      </c>
    </row>
    <row r="1714" spans="1:17" x14ac:dyDescent="0.2">
      <c r="A1714" t="s">
        <v>331</v>
      </c>
      <c r="B1714" s="141">
        <f t="shared" si="28"/>
        <v>21.28</v>
      </c>
      <c r="C1714" s="280">
        <v>45893</v>
      </c>
      <c r="D1714" s="282"/>
      <c r="E1714" s="283"/>
      <c r="I1714" s="132" t="s">
        <v>4614</v>
      </c>
      <c r="J1714" s="132" t="s">
        <v>4627</v>
      </c>
      <c r="K1714" s="646" t="s">
        <v>4628</v>
      </c>
      <c r="L1714" s="132" t="s">
        <v>4629</v>
      </c>
      <c r="M1714" s="284"/>
      <c r="P1714" s="132" t="s">
        <v>4869</v>
      </c>
      <c r="Q1714" s="132" t="s">
        <v>4616</v>
      </c>
    </row>
    <row r="1715" spans="1:17" x14ac:dyDescent="0.2">
      <c r="A1715" t="s">
        <v>331</v>
      </c>
      <c r="B1715" s="141">
        <f t="shared" si="28"/>
        <v>21.28</v>
      </c>
      <c r="C1715" s="280">
        <v>45893</v>
      </c>
      <c r="D1715" s="282"/>
      <c r="E1715" s="283"/>
      <c r="I1715" s="132" t="s">
        <v>4614</v>
      </c>
      <c r="J1715" s="132" t="s">
        <v>4627</v>
      </c>
      <c r="K1715" s="646" t="s">
        <v>4628</v>
      </c>
      <c r="L1715" s="132" t="s">
        <v>4629</v>
      </c>
      <c r="P1715" s="132" t="s">
        <v>4870</v>
      </c>
      <c r="Q1715" s="132" t="s">
        <v>4616</v>
      </c>
    </row>
    <row r="1716" spans="1:17" x14ac:dyDescent="0.2">
      <c r="A1716" t="s">
        <v>331</v>
      </c>
      <c r="B1716" s="141">
        <f t="shared" si="28"/>
        <v>21.28</v>
      </c>
      <c r="C1716" s="280">
        <v>45893</v>
      </c>
      <c r="D1716" s="282"/>
      <c r="E1716" s="283"/>
      <c r="I1716" s="132" t="s">
        <v>4614</v>
      </c>
      <c r="J1716" s="132" t="s">
        <v>4627</v>
      </c>
      <c r="K1716" s="646" t="s">
        <v>4628</v>
      </c>
      <c r="L1716" s="132" t="s">
        <v>4629</v>
      </c>
      <c r="P1716" s="132" t="s">
        <v>4871</v>
      </c>
      <c r="Q1716" s="132" t="s">
        <v>4616</v>
      </c>
    </row>
    <row r="1717" spans="1:17" x14ac:dyDescent="0.2">
      <c r="A1717" t="s">
        <v>331</v>
      </c>
      <c r="B1717" s="141">
        <f t="shared" si="28"/>
        <v>21.150000000000002</v>
      </c>
      <c r="C1717" s="280">
        <v>45893</v>
      </c>
      <c r="D1717" s="282"/>
      <c r="E1717" s="283"/>
      <c r="I1717" s="132" t="s">
        <v>4614</v>
      </c>
      <c r="J1717" s="132" t="s">
        <v>4627</v>
      </c>
      <c r="K1717" s="141" t="s">
        <v>2463</v>
      </c>
      <c r="L1717" s="132" t="s">
        <v>4634</v>
      </c>
      <c r="P1717" s="132" t="s">
        <v>4872</v>
      </c>
      <c r="Q1717" s="132" t="s">
        <v>4616</v>
      </c>
    </row>
    <row r="1718" spans="1:17" x14ac:dyDescent="0.2">
      <c r="A1718" t="s">
        <v>331</v>
      </c>
      <c r="B1718" s="141">
        <f t="shared" si="28"/>
        <v>21.28</v>
      </c>
      <c r="C1718" s="280">
        <v>45893</v>
      </c>
      <c r="D1718" s="282"/>
      <c r="E1718" s="283"/>
      <c r="I1718" s="132" t="s">
        <v>4614</v>
      </c>
      <c r="J1718" s="132" t="s">
        <v>4627</v>
      </c>
      <c r="K1718" s="646" t="s">
        <v>4628</v>
      </c>
      <c r="L1718" s="132" t="s">
        <v>4629</v>
      </c>
      <c r="P1718" s="132" t="s">
        <v>4873</v>
      </c>
      <c r="Q1718" s="132" t="s">
        <v>4616</v>
      </c>
    </row>
    <row r="1719" spans="1:17" x14ac:dyDescent="0.2">
      <c r="A1719" t="s">
        <v>331</v>
      </c>
      <c r="B1719" s="141">
        <f t="shared" si="28"/>
        <v>21.28</v>
      </c>
      <c r="C1719" s="280">
        <v>45893</v>
      </c>
      <c r="D1719" s="282"/>
      <c r="E1719" s="283"/>
      <c r="I1719" s="132" t="s">
        <v>4614</v>
      </c>
      <c r="J1719" s="132" t="s">
        <v>4627</v>
      </c>
      <c r="K1719" s="646" t="s">
        <v>4628</v>
      </c>
      <c r="L1719" s="132" t="s">
        <v>4629</v>
      </c>
      <c r="P1719" s="132" t="s">
        <v>4874</v>
      </c>
      <c r="Q1719" s="132" t="s">
        <v>4616</v>
      </c>
    </row>
    <row r="1720" spans="1:17" x14ac:dyDescent="0.2">
      <c r="A1720" t="s">
        <v>331</v>
      </c>
      <c r="B1720" s="141">
        <f t="shared" si="28"/>
        <v>21.28</v>
      </c>
      <c r="C1720" s="280">
        <v>45893</v>
      </c>
      <c r="D1720" s="282"/>
      <c r="E1720" s="283"/>
      <c r="I1720" s="132" t="s">
        <v>4614</v>
      </c>
      <c r="J1720" s="132" t="s">
        <v>4627</v>
      </c>
      <c r="K1720" s="646" t="s">
        <v>4628</v>
      </c>
      <c r="L1720" s="132" t="s">
        <v>4629</v>
      </c>
      <c r="P1720" s="132" t="s">
        <v>4875</v>
      </c>
      <c r="Q1720" s="132" t="s">
        <v>4616</v>
      </c>
    </row>
    <row r="1721" spans="1:17" x14ac:dyDescent="0.2">
      <c r="A1721" t="s">
        <v>331</v>
      </c>
      <c r="B1721" s="141">
        <f t="shared" si="28"/>
        <v>21.28</v>
      </c>
      <c r="C1721" s="280">
        <v>45893</v>
      </c>
      <c r="D1721" s="282"/>
      <c r="E1721" s="283"/>
      <c r="I1721" s="132" t="s">
        <v>4614</v>
      </c>
      <c r="J1721" s="132" t="s">
        <v>4627</v>
      </c>
      <c r="K1721" s="646" t="s">
        <v>4628</v>
      </c>
      <c r="L1721" s="132" t="s">
        <v>4629</v>
      </c>
      <c r="P1721" s="132" t="s">
        <v>4876</v>
      </c>
      <c r="Q1721" s="132" t="s">
        <v>4616</v>
      </c>
    </row>
    <row r="1722" spans="1:17" x14ac:dyDescent="0.2">
      <c r="A1722" t="s">
        <v>81</v>
      </c>
      <c r="B1722" s="141">
        <f t="shared" si="28"/>
        <v>58.2</v>
      </c>
      <c r="C1722" s="280">
        <v>45893</v>
      </c>
      <c r="D1722" s="282"/>
      <c r="E1722" s="283"/>
      <c r="I1722" s="132" t="s">
        <v>4614</v>
      </c>
      <c r="J1722" s="132" t="s">
        <v>4623</v>
      </c>
      <c r="K1722" s="141" t="s">
        <v>4624</v>
      </c>
      <c r="L1722" s="132" t="s">
        <v>4625</v>
      </c>
      <c r="P1722" s="132" t="s">
        <v>4877</v>
      </c>
      <c r="Q1722" s="132" t="s">
        <v>4616</v>
      </c>
    </row>
    <row r="1723" spans="1:17" x14ac:dyDescent="0.2">
      <c r="A1723" t="s">
        <v>331</v>
      </c>
      <c r="B1723" s="141">
        <f t="shared" si="28"/>
        <v>21.150000000000002</v>
      </c>
      <c r="C1723" s="280">
        <v>45893</v>
      </c>
      <c r="D1723" s="282"/>
      <c r="E1723" s="283"/>
      <c r="I1723" s="132" t="s">
        <v>4614</v>
      </c>
      <c r="J1723" s="132" t="s">
        <v>4627</v>
      </c>
      <c r="K1723" s="141" t="s">
        <v>2463</v>
      </c>
      <c r="L1723" s="132" t="s">
        <v>4634</v>
      </c>
      <c r="P1723" s="132" t="s">
        <v>4878</v>
      </c>
      <c r="Q1723" s="132" t="s">
        <v>4616</v>
      </c>
    </row>
    <row r="1724" spans="1:17" x14ac:dyDescent="0.2">
      <c r="A1724" t="s">
        <v>81</v>
      </c>
      <c r="B1724" s="141">
        <f t="shared" si="28"/>
        <v>58.56</v>
      </c>
      <c r="C1724" s="280">
        <v>45893</v>
      </c>
      <c r="D1724" s="282"/>
      <c r="E1724" s="283"/>
      <c r="I1724" s="132" t="s">
        <v>4614</v>
      </c>
      <c r="J1724" s="132" t="s">
        <v>4623</v>
      </c>
      <c r="K1724" s="141" t="s">
        <v>4672</v>
      </c>
      <c r="L1724" s="132" t="s">
        <v>4673</v>
      </c>
      <c r="P1724" s="132" t="s">
        <v>4879</v>
      </c>
      <c r="Q1724" s="132" t="s">
        <v>4616</v>
      </c>
    </row>
    <row r="1725" spans="1:17" x14ac:dyDescent="0.2">
      <c r="A1725" t="s">
        <v>331</v>
      </c>
      <c r="B1725" s="141">
        <f t="shared" si="28"/>
        <v>21.28</v>
      </c>
      <c r="C1725" s="280">
        <v>45893</v>
      </c>
      <c r="D1725" s="282"/>
      <c r="E1725" s="283"/>
      <c r="I1725" s="132" t="s">
        <v>4614</v>
      </c>
      <c r="J1725" s="132" t="s">
        <v>4627</v>
      </c>
      <c r="K1725" s="646" t="s">
        <v>4628</v>
      </c>
      <c r="L1725" s="132" t="s">
        <v>4629</v>
      </c>
      <c r="P1725" s="132" t="s">
        <v>4880</v>
      </c>
      <c r="Q1725" s="132" t="s">
        <v>4616</v>
      </c>
    </row>
    <row r="1726" spans="1:17" x14ac:dyDescent="0.2">
      <c r="A1726" t="s">
        <v>331</v>
      </c>
      <c r="B1726" s="141">
        <f t="shared" si="28"/>
        <v>21.28</v>
      </c>
      <c r="C1726" s="280">
        <v>45893</v>
      </c>
      <c r="D1726" s="282"/>
      <c r="E1726" s="283"/>
      <c r="I1726" s="132" t="s">
        <v>4614</v>
      </c>
      <c r="J1726" s="132" t="s">
        <v>4627</v>
      </c>
      <c r="K1726" s="646" t="s">
        <v>4628</v>
      </c>
      <c r="L1726" s="132" t="s">
        <v>4629</v>
      </c>
      <c r="P1726" s="132" t="s">
        <v>4882</v>
      </c>
      <c r="Q1726" s="132" t="s">
        <v>4616</v>
      </c>
    </row>
    <row r="1727" spans="1:17" x14ac:dyDescent="0.2">
      <c r="A1727" t="s">
        <v>331</v>
      </c>
      <c r="B1727" s="141">
        <f t="shared" si="28"/>
        <v>21.28</v>
      </c>
      <c r="C1727" s="280">
        <v>45893</v>
      </c>
      <c r="D1727" s="282"/>
      <c r="E1727" s="283"/>
      <c r="I1727" s="132" t="s">
        <v>4614</v>
      </c>
      <c r="J1727" s="132" t="s">
        <v>4627</v>
      </c>
      <c r="K1727" s="646" t="s">
        <v>4628</v>
      </c>
      <c r="L1727" s="132" t="s">
        <v>4629</v>
      </c>
      <c r="P1727" s="132" t="s">
        <v>4884</v>
      </c>
      <c r="Q1727" s="132" t="s">
        <v>4616</v>
      </c>
    </row>
    <row r="1728" spans="1:17" x14ac:dyDescent="0.2">
      <c r="A1728" t="s">
        <v>331</v>
      </c>
      <c r="B1728" s="141">
        <f t="shared" si="28"/>
        <v>21.28</v>
      </c>
      <c r="C1728" s="280">
        <v>45893</v>
      </c>
      <c r="D1728" s="282"/>
      <c r="E1728" s="283"/>
      <c r="I1728" s="132" t="s">
        <v>4614</v>
      </c>
      <c r="J1728" s="132" t="s">
        <v>4627</v>
      </c>
      <c r="K1728" s="646" t="s">
        <v>4628</v>
      </c>
      <c r="L1728" s="132" t="s">
        <v>4629</v>
      </c>
      <c r="P1728" s="132" t="s">
        <v>4886</v>
      </c>
      <c r="Q1728" s="132" t="s">
        <v>4616</v>
      </c>
    </row>
    <row r="1729" spans="1:17" x14ac:dyDescent="0.2">
      <c r="A1729" t="s">
        <v>331</v>
      </c>
      <c r="B1729" s="141">
        <f t="shared" si="28"/>
        <v>21.150000000000002</v>
      </c>
      <c r="C1729" s="280">
        <v>45893</v>
      </c>
      <c r="D1729" s="282"/>
      <c r="E1729" s="283"/>
      <c r="I1729" s="132" t="s">
        <v>4614</v>
      </c>
      <c r="J1729" s="132" t="s">
        <v>4627</v>
      </c>
      <c r="K1729" s="141" t="s">
        <v>2463</v>
      </c>
      <c r="L1729" s="132" t="s">
        <v>4634</v>
      </c>
      <c r="P1729" s="132" t="s">
        <v>4887</v>
      </c>
      <c r="Q1729" s="132" t="s">
        <v>4616</v>
      </c>
    </row>
    <row r="1730" spans="1:17" x14ac:dyDescent="0.2">
      <c r="A1730" t="s">
        <v>331</v>
      </c>
      <c r="B1730" s="141">
        <f t="shared" si="28"/>
        <v>21.28</v>
      </c>
      <c r="C1730" s="280">
        <v>45893</v>
      </c>
      <c r="D1730" s="282"/>
      <c r="E1730" s="283"/>
      <c r="I1730" s="132" t="s">
        <v>4614</v>
      </c>
      <c r="J1730" s="132" t="s">
        <v>4627</v>
      </c>
      <c r="K1730" s="646" t="s">
        <v>4628</v>
      </c>
      <c r="L1730" s="132" t="s">
        <v>4629</v>
      </c>
      <c r="P1730" s="132" t="s">
        <v>4888</v>
      </c>
      <c r="Q1730" s="132" t="s">
        <v>4616</v>
      </c>
    </row>
    <row r="1731" spans="1:17" x14ac:dyDescent="0.2">
      <c r="A1731" t="s">
        <v>331</v>
      </c>
      <c r="B1731" s="141">
        <f t="shared" si="28"/>
        <v>21.28</v>
      </c>
      <c r="C1731" s="280">
        <v>45893</v>
      </c>
      <c r="D1731" s="282"/>
      <c r="E1731" s="283"/>
      <c r="I1731" s="132" t="s">
        <v>4614</v>
      </c>
      <c r="J1731" s="132" t="s">
        <v>4627</v>
      </c>
      <c r="K1731" s="646" t="s">
        <v>4628</v>
      </c>
      <c r="L1731" s="132" t="s">
        <v>4629</v>
      </c>
      <c r="P1731" s="132" t="s">
        <v>4889</v>
      </c>
      <c r="Q1731" s="132" t="s">
        <v>4616</v>
      </c>
    </row>
    <row r="1732" spans="1:17" x14ac:dyDescent="0.2">
      <c r="A1732" t="s">
        <v>331</v>
      </c>
      <c r="B1732" s="141">
        <f t="shared" si="28"/>
        <v>21.28</v>
      </c>
      <c r="C1732" s="280">
        <v>45893</v>
      </c>
      <c r="D1732" s="282"/>
      <c r="E1732" s="283"/>
      <c r="I1732" s="132" t="s">
        <v>4614</v>
      </c>
      <c r="J1732" s="132" t="s">
        <v>4627</v>
      </c>
      <c r="K1732" s="646" t="s">
        <v>4628</v>
      </c>
      <c r="L1732" s="132" t="s">
        <v>4629</v>
      </c>
      <c r="N1732" s="284"/>
      <c r="P1732" s="132" t="s">
        <v>4891</v>
      </c>
      <c r="Q1732" s="132" t="s">
        <v>4616</v>
      </c>
    </row>
    <row r="1733" spans="1:17" x14ac:dyDescent="0.2">
      <c r="A1733" t="s">
        <v>331</v>
      </c>
      <c r="B1733" s="141">
        <f t="shared" si="28"/>
        <v>21.28</v>
      </c>
      <c r="C1733" s="280">
        <v>45893</v>
      </c>
      <c r="D1733" s="282"/>
      <c r="E1733" s="283"/>
      <c r="I1733" s="132" t="s">
        <v>4614</v>
      </c>
      <c r="J1733" s="132" t="s">
        <v>4627</v>
      </c>
      <c r="K1733" s="646" t="s">
        <v>4628</v>
      </c>
      <c r="L1733" s="132" t="s">
        <v>4629</v>
      </c>
      <c r="P1733" s="132" t="s">
        <v>4892</v>
      </c>
      <c r="Q1733" s="132" t="s">
        <v>4616</v>
      </c>
    </row>
    <row r="1734" spans="1:17" x14ac:dyDescent="0.2">
      <c r="A1734" t="s">
        <v>331</v>
      </c>
      <c r="B1734" s="141">
        <f t="shared" si="28"/>
        <v>21.28</v>
      </c>
      <c r="C1734" s="280">
        <v>45893</v>
      </c>
      <c r="D1734" s="282"/>
      <c r="E1734" s="283"/>
      <c r="I1734" s="132" t="s">
        <v>4614</v>
      </c>
      <c r="J1734" s="132" t="s">
        <v>4627</v>
      </c>
      <c r="K1734" s="646" t="s">
        <v>4628</v>
      </c>
      <c r="L1734" s="132" t="s">
        <v>4629</v>
      </c>
      <c r="P1734" s="132" t="s">
        <v>4893</v>
      </c>
      <c r="Q1734" s="132" t="s">
        <v>4616</v>
      </c>
    </row>
    <row r="1735" spans="1:17" x14ac:dyDescent="0.2">
      <c r="A1735" t="s">
        <v>331</v>
      </c>
      <c r="B1735" s="141">
        <f t="shared" si="28"/>
        <v>21.28</v>
      </c>
      <c r="C1735" s="280">
        <v>45893</v>
      </c>
      <c r="D1735" s="282"/>
      <c r="E1735" s="283"/>
      <c r="I1735" s="132" t="s">
        <v>4614</v>
      </c>
      <c r="J1735" s="132" t="s">
        <v>4627</v>
      </c>
      <c r="K1735" s="646" t="s">
        <v>4628</v>
      </c>
      <c r="L1735" s="132" t="s">
        <v>4629</v>
      </c>
      <c r="P1735" s="132" t="s">
        <v>4894</v>
      </c>
      <c r="Q1735" s="132" t="s">
        <v>4616</v>
      </c>
    </row>
    <row r="1736" spans="1:17" x14ac:dyDescent="0.2">
      <c r="A1736" t="s">
        <v>81</v>
      </c>
      <c r="B1736" s="141">
        <f t="shared" si="28"/>
        <v>58.56</v>
      </c>
      <c r="C1736" s="280">
        <v>45893</v>
      </c>
      <c r="D1736" s="282"/>
      <c r="E1736" s="283"/>
      <c r="I1736" s="132" t="s">
        <v>4614</v>
      </c>
      <c r="J1736" s="132" t="s">
        <v>4623</v>
      </c>
      <c r="K1736" s="141" t="s">
        <v>4672</v>
      </c>
      <c r="L1736" s="132" t="s">
        <v>4673</v>
      </c>
      <c r="P1736" s="132" t="s">
        <v>4895</v>
      </c>
      <c r="Q1736" s="132" t="s">
        <v>4616</v>
      </c>
    </row>
    <row r="1737" spans="1:17" x14ac:dyDescent="0.2">
      <c r="A1737" t="s">
        <v>331</v>
      </c>
      <c r="B1737" s="141">
        <f t="shared" si="28"/>
        <v>21.28</v>
      </c>
      <c r="C1737" s="280">
        <v>45894</v>
      </c>
      <c r="D1737" s="282"/>
      <c r="E1737" s="283"/>
      <c r="I1737" s="132" t="s">
        <v>4614</v>
      </c>
      <c r="J1737" s="132" t="s">
        <v>4627</v>
      </c>
      <c r="K1737" s="646" t="s">
        <v>4628</v>
      </c>
      <c r="L1737" s="132" t="s">
        <v>4629</v>
      </c>
      <c r="P1737" s="132" t="s">
        <v>4897</v>
      </c>
      <c r="Q1737" s="132" t="s">
        <v>4616</v>
      </c>
    </row>
    <row r="1738" spans="1:17" x14ac:dyDescent="0.2">
      <c r="A1738" t="s">
        <v>331</v>
      </c>
      <c r="B1738" s="141">
        <f t="shared" si="28"/>
        <v>21.28</v>
      </c>
      <c r="C1738" s="280">
        <v>45894</v>
      </c>
      <c r="D1738" s="282"/>
      <c r="E1738" s="283"/>
      <c r="I1738" s="132" t="s">
        <v>4614</v>
      </c>
      <c r="J1738" s="132" t="s">
        <v>4627</v>
      </c>
      <c r="K1738" s="646" t="s">
        <v>4628</v>
      </c>
      <c r="L1738" s="132" t="s">
        <v>4629</v>
      </c>
      <c r="P1738" s="132" t="s">
        <v>4898</v>
      </c>
      <c r="Q1738" s="132" t="s">
        <v>4616</v>
      </c>
    </row>
    <row r="1739" spans="1:17" x14ac:dyDescent="0.2">
      <c r="A1739" t="s">
        <v>331</v>
      </c>
      <c r="B1739" s="141">
        <f t="shared" si="28"/>
        <v>21.28</v>
      </c>
      <c r="C1739" s="280">
        <v>45894</v>
      </c>
      <c r="D1739" s="282"/>
      <c r="E1739" s="283"/>
      <c r="I1739" s="132" t="s">
        <v>4614</v>
      </c>
      <c r="J1739" s="132" t="s">
        <v>4627</v>
      </c>
      <c r="K1739" s="646" t="s">
        <v>4628</v>
      </c>
      <c r="L1739" s="132" t="s">
        <v>4629</v>
      </c>
      <c r="P1739" s="132" t="s">
        <v>4900</v>
      </c>
      <c r="Q1739" s="132" t="s">
        <v>4616</v>
      </c>
    </row>
    <row r="1740" spans="1:17" x14ac:dyDescent="0.2">
      <c r="A1740" t="s">
        <v>331</v>
      </c>
      <c r="B1740" s="141">
        <f t="shared" si="28"/>
        <v>21.150000000000002</v>
      </c>
      <c r="C1740" s="280">
        <v>45894</v>
      </c>
      <c r="D1740" s="282"/>
      <c r="E1740" s="283"/>
      <c r="I1740" s="132" t="s">
        <v>4614</v>
      </c>
      <c r="J1740" s="132" t="s">
        <v>4627</v>
      </c>
      <c r="K1740" s="141" t="s">
        <v>2463</v>
      </c>
      <c r="L1740" s="132" t="s">
        <v>4634</v>
      </c>
      <c r="P1740" s="132" t="s">
        <v>4901</v>
      </c>
      <c r="Q1740" s="132" t="s">
        <v>4616</v>
      </c>
    </row>
    <row r="1741" spans="1:17" x14ac:dyDescent="0.2">
      <c r="A1741" t="s">
        <v>331</v>
      </c>
      <c r="B1741" s="141">
        <f t="shared" si="28"/>
        <v>21.150000000000002</v>
      </c>
      <c r="C1741" s="280">
        <v>45894</v>
      </c>
      <c r="D1741" s="282"/>
      <c r="E1741" s="283"/>
      <c r="I1741" s="132" t="s">
        <v>4614</v>
      </c>
      <c r="J1741" s="132" t="s">
        <v>4627</v>
      </c>
      <c r="K1741" s="141" t="s">
        <v>2463</v>
      </c>
      <c r="L1741" s="132" t="s">
        <v>4634</v>
      </c>
      <c r="P1741" s="132" t="s">
        <v>4902</v>
      </c>
      <c r="Q1741" s="132" t="s">
        <v>4616</v>
      </c>
    </row>
    <row r="1742" spans="1:17" x14ac:dyDescent="0.2">
      <c r="A1742" t="s">
        <v>331</v>
      </c>
      <c r="B1742" s="141">
        <f t="shared" si="28"/>
        <v>21.150000000000002</v>
      </c>
      <c r="C1742" s="280">
        <v>45894</v>
      </c>
      <c r="D1742" s="282"/>
      <c r="E1742" s="283"/>
      <c r="I1742" s="132" t="s">
        <v>4614</v>
      </c>
      <c r="J1742" s="132" t="s">
        <v>4627</v>
      </c>
      <c r="K1742" s="141" t="s">
        <v>2463</v>
      </c>
      <c r="L1742" s="132" t="s">
        <v>4634</v>
      </c>
      <c r="P1742" s="132" t="s">
        <v>4903</v>
      </c>
      <c r="Q1742" s="132" t="s">
        <v>4616</v>
      </c>
    </row>
    <row r="1743" spans="1:17" x14ac:dyDescent="0.2">
      <c r="A1743" t="s">
        <v>81</v>
      </c>
      <c r="B1743" s="141">
        <f t="shared" si="28"/>
        <v>58.56</v>
      </c>
      <c r="C1743" s="280">
        <v>45894</v>
      </c>
      <c r="D1743" s="282"/>
      <c r="E1743" s="283"/>
      <c r="I1743" s="132" t="s">
        <v>4614</v>
      </c>
      <c r="J1743" s="132" t="s">
        <v>4623</v>
      </c>
      <c r="K1743" s="141" t="s">
        <v>4672</v>
      </c>
      <c r="L1743" s="132" t="s">
        <v>4673</v>
      </c>
      <c r="P1743" s="132" t="s">
        <v>4904</v>
      </c>
      <c r="Q1743" s="132" t="s">
        <v>4616</v>
      </c>
    </row>
    <row r="1744" spans="1:17" x14ac:dyDescent="0.2">
      <c r="A1744" t="s">
        <v>331</v>
      </c>
      <c r="B1744" s="141">
        <f t="shared" si="28"/>
        <v>21.28</v>
      </c>
      <c r="C1744" s="280">
        <v>45894</v>
      </c>
      <c r="D1744" s="282"/>
      <c r="E1744" s="283"/>
      <c r="I1744" s="132" t="s">
        <v>4614</v>
      </c>
      <c r="J1744" s="132" t="s">
        <v>4627</v>
      </c>
      <c r="K1744" s="646" t="s">
        <v>4628</v>
      </c>
      <c r="L1744" s="132" t="s">
        <v>4629</v>
      </c>
      <c r="P1744" s="132" t="s">
        <v>4905</v>
      </c>
      <c r="Q1744" s="132" t="s">
        <v>4616</v>
      </c>
    </row>
    <row r="1745" spans="1:17" x14ac:dyDescent="0.2">
      <c r="A1745" t="s">
        <v>331</v>
      </c>
      <c r="B1745" s="141">
        <f t="shared" si="28"/>
        <v>21.150000000000002</v>
      </c>
      <c r="C1745" s="280">
        <v>45894</v>
      </c>
      <c r="D1745" s="282"/>
      <c r="E1745" s="283"/>
      <c r="I1745" s="132" t="s">
        <v>4614</v>
      </c>
      <c r="J1745" s="132" t="s">
        <v>4627</v>
      </c>
      <c r="K1745" s="141" t="s">
        <v>2463</v>
      </c>
      <c r="L1745" s="132" t="s">
        <v>4634</v>
      </c>
      <c r="P1745" s="132" t="s">
        <v>4906</v>
      </c>
      <c r="Q1745" s="132" t="s">
        <v>4616</v>
      </c>
    </row>
    <row r="1746" spans="1:17" x14ac:dyDescent="0.2">
      <c r="A1746" t="s">
        <v>331</v>
      </c>
      <c r="B1746" s="141">
        <f t="shared" si="28"/>
        <v>21.28</v>
      </c>
      <c r="C1746" s="280">
        <v>45894</v>
      </c>
      <c r="D1746" s="282"/>
      <c r="E1746" s="283"/>
      <c r="I1746" s="132" t="s">
        <v>4614</v>
      </c>
      <c r="J1746" s="132" t="s">
        <v>4627</v>
      </c>
      <c r="K1746" s="646" t="s">
        <v>4628</v>
      </c>
      <c r="L1746" s="132" t="s">
        <v>4629</v>
      </c>
      <c r="P1746" s="132" t="s">
        <v>4908</v>
      </c>
      <c r="Q1746" s="132" t="s">
        <v>4616</v>
      </c>
    </row>
    <row r="1747" spans="1:17" x14ac:dyDescent="0.2">
      <c r="A1747" t="s">
        <v>331</v>
      </c>
      <c r="B1747" s="141">
        <f t="shared" si="28"/>
        <v>21.28</v>
      </c>
      <c r="C1747" s="280">
        <v>45894</v>
      </c>
      <c r="D1747" s="282"/>
      <c r="E1747" s="283"/>
      <c r="I1747" s="132" t="s">
        <v>4614</v>
      </c>
      <c r="J1747" s="132" t="s">
        <v>4627</v>
      </c>
      <c r="K1747" s="646" t="s">
        <v>4628</v>
      </c>
      <c r="L1747" s="132" t="s">
        <v>4629</v>
      </c>
      <c r="P1747" s="132" t="s">
        <v>4909</v>
      </c>
      <c r="Q1747" s="132" t="s">
        <v>4616</v>
      </c>
    </row>
    <row r="1748" spans="1:17" x14ac:dyDescent="0.2">
      <c r="A1748" t="s">
        <v>331</v>
      </c>
      <c r="B1748" s="141">
        <f t="shared" si="28"/>
        <v>21.150000000000002</v>
      </c>
      <c r="C1748" s="280">
        <v>45894</v>
      </c>
      <c r="D1748" s="282"/>
      <c r="E1748" s="283"/>
      <c r="I1748" s="132" t="s">
        <v>4614</v>
      </c>
      <c r="J1748" s="132" t="s">
        <v>4627</v>
      </c>
      <c r="K1748" s="141" t="s">
        <v>2463</v>
      </c>
      <c r="L1748" s="132" t="s">
        <v>4634</v>
      </c>
      <c r="P1748" s="132" t="s">
        <v>4910</v>
      </c>
      <c r="Q1748" s="132" t="s">
        <v>4616</v>
      </c>
    </row>
    <row r="1749" spans="1:17" x14ac:dyDescent="0.2">
      <c r="A1749" t="s">
        <v>331</v>
      </c>
      <c r="B1749" s="141">
        <f t="shared" si="28"/>
        <v>21.28</v>
      </c>
      <c r="C1749" s="280">
        <v>45894</v>
      </c>
      <c r="D1749" s="282"/>
      <c r="E1749" s="283"/>
      <c r="I1749" s="132" t="s">
        <v>4614</v>
      </c>
      <c r="J1749" s="132" t="s">
        <v>4627</v>
      </c>
      <c r="K1749" s="646" t="s">
        <v>4628</v>
      </c>
      <c r="L1749" s="132" t="s">
        <v>4629</v>
      </c>
      <c r="P1749" s="132" t="s">
        <v>4911</v>
      </c>
      <c r="Q1749" s="132" t="s">
        <v>4616</v>
      </c>
    </row>
    <row r="1750" spans="1:17" x14ac:dyDescent="0.2">
      <c r="A1750" t="s">
        <v>331</v>
      </c>
      <c r="B1750" s="141">
        <f t="shared" si="28"/>
        <v>21.28</v>
      </c>
      <c r="C1750" s="280">
        <v>45894</v>
      </c>
      <c r="D1750" s="282"/>
      <c r="E1750" s="283"/>
      <c r="I1750" s="132" t="s">
        <v>4614</v>
      </c>
      <c r="J1750" s="132" t="s">
        <v>4627</v>
      </c>
      <c r="K1750" s="646" t="s">
        <v>4628</v>
      </c>
      <c r="L1750" s="132" t="s">
        <v>4629</v>
      </c>
      <c r="M1750" s="284"/>
      <c r="P1750" s="132" t="s">
        <v>4912</v>
      </c>
      <c r="Q1750" s="132" t="s">
        <v>4616</v>
      </c>
    </row>
    <row r="1751" spans="1:17" x14ac:dyDescent="0.2">
      <c r="A1751" t="s">
        <v>331</v>
      </c>
      <c r="B1751" s="141">
        <f t="shared" si="28"/>
        <v>21.28</v>
      </c>
      <c r="C1751" s="280">
        <v>45894</v>
      </c>
      <c r="D1751" s="282"/>
      <c r="E1751" s="283"/>
      <c r="I1751" s="132" t="s">
        <v>4614</v>
      </c>
      <c r="J1751" s="132" t="s">
        <v>4627</v>
      </c>
      <c r="K1751" s="646" t="s">
        <v>4628</v>
      </c>
      <c r="L1751" s="132" t="s">
        <v>4629</v>
      </c>
      <c r="P1751" s="132" t="s">
        <v>4913</v>
      </c>
      <c r="Q1751" s="132" t="s">
        <v>4616</v>
      </c>
    </row>
    <row r="1752" spans="1:17" x14ac:dyDescent="0.2">
      <c r="A1752" t="s">
        <v>81</v>
      </c>
      <c r="B1752" s="141">
        <f t="shared" si="28"/>
        <v>58.2</v>
      </c>
      <c r="C1752" s="280">
        <v>45894</v>
      </c>
      <c r="D1752" s="282"/>
      <c r="E1752" s="283"/>
      <c r="I1752" s="132" t="s">
        <v>4614</v>
      </c>
      <c r="J1752" s="132" t="s">
        <v>4623</v>
      </c>
      <c r="K1752" s="141" t="s">
        <v>4624</v>
      </c>
      <c r="L1752" s="132" t="s">
        <v>4625</v>
      </c>
      <c r="P1752" s="132" t="s">
        <v>4914</v>
      </c>
      <c r="Q1752" s="132" t="s">
        <v>4616</v>
      </c>
    </row>
    <row r="1753" spans="1:17" x14ac:dyDescent="0.2">
      <c r="A1753" t="s">
        <v>331</v>
      </c>
      <c r="B1753" s="141">
        <f t="shared" si="28"/>
        <v>21.28</v>
      </c>
      <c r="C1753" s="280">
        <v>45894</v>
      </c>
      <c r="D1753" s="282"/>
      <c r="E1753" s="283"/>
      <c r="I1753" s="132" t="s">
        <v>4614</v>
      </c>
      <c r="J1753" s="132" t="s">
        <v>4627</v>
      </c>
      <c r="K1753" s="646" t="s">
        <v>4628</v>
      </c>
      <c r="L1753" s="132" t="s">
        <v>4629</v>
      </c>
      <c r="P1753" s="132" t="s">
        <v>4915</v>
      </c>
      <c r="Q1753" s="132" t="s">
        <v>4616</v>
      </c>
    </row>
    <row r="1754" spans="1:17" x14ac:dyDescent="0.2">
      <c r="A1754" t="s">
        <v>331</v>
      </c>
      <c r="B1754" s="141">
        <f t="shared" si="28"/>
        <v>21.28</v>
      </c>
      <c r="C1754" s="280">
        <v>45895</v>
      </c>
      <c r="D1754" s="282"/>
      <c r="E1754" s="283"/>
      <c r="I1754" s="132" t="s">
        <v>4614</v>
      </c>
      <c r="J1754" s="132" t="s">
        <v>4627</v>
      </c>
      <c r="K1754" s="646" t="s">
        <v>4628</v>
      </c>
      <c r="L1754" s="132" t="s">
        <v>4629</v>
      </c>
      <c r="P1754" s="132" t="s">
        <v>4917</v>
      </c>
      <c r="Q1754" s="132" t="s">
        <v>4616</v>
      </c>
    </row>
    <row r="1755" spans="1:17" x14ac:dyDescent="0.2">
      <c r="A1755" t="s">
        <v>331</v>
      </c>
      <c r="B1755" s="141">
        <f t="shared" si="28"/>
        <v>21.28</v>
      </c>
      <c r="C1755" s="280">
        <v>45895</v>
      </c>
      <c r="D1755" s="282"/>
      <c r="E1755" s="283"/>
      <c r="I1755" s="132" t="s">
        <v>4614</v>
      </c>
      <c r="J1755" s="132" t="s">
        <v>4627</v>
      </c>
      <c r="K1755" s="646" t="s">
        <v>4628</v>
      </c>
      <c r="L1755" s="132" t="s">
        <v>4629</v>
      </c>
      <c r="P1755" s="132" t="s">
        <v>4919</v>
      </c>
      <c r="Q1755" s="132" t="s">
        <v>4616</v>
      </c>
    </row>
    <row r="1756" spans="1:17" x14ac:dyDescent="0.2">
      <c r="A1756" t="s">
        <v>81</v>
      </c>
      <c r="B1756" s="141">
        <f t="shared" si="28"/>
        <v>58.56</v>
      </c>
      <c r="C1756" s="280">
        <v>45899</v>
      </c>
      <c r="D1756" s="279">
        <v>45902</v>
      </c>
      <c r="E1756" s="279">
        <v>45906</v>
      </c>
      <c r="F1756" s="132"/>
      <c r="G1756" s="132" t="s">
        <v>4920</v>
      </c>
      <c r="H1756" s="132" t="s">
        <v>373</v>
      </c>
      <c r="I1756" s="132" t="s">
        <v>1100</v>
      </c>
      <c r="J1756" s="132" t="s">
        <v>4623</v>
      </c>
      <c r="K1756" s="132" t="s">
        <v>4672</v>
      </c>
      <c r="L1756" s="132" t="s">
        <v>4673</v>
      </c>
      <c r="M1756" s="132" t="s">
        <v>4921</v>
      </c>
      <c r="N1756" s="132" t="s">
        <v>1105</v>
      </c>
      <c r="O1756" s="132" t="s">
        <v>4922</v>
      </c>
      <c r="P1756" s="132" t="s">
        <v>4923</v>
      </c>
      <c r="Q1756" s="132" t="s">
        <v>1108</v>
      </c>
    </row>
    <row r="1757" spans="1:17" x14ac:dyDescent="0.2">
      <c r="A1757" t="s">
        <v>139</v>
      </c>
      <c r="B1757" s="141">
        <f t="shared" si="28"/>
        <v>4.6000000000000005</v>
      </c>
      <c r="C1757" s="280">
        <v>45899</v>
      </c>
      <c r="D1757" s="279">
        <v>45902</v>
      </c>
      <c r="E1757" s="279">
        <v>45906</v>
      </c>
      <c r="F1757" s="132"/>
      <c r="G1757" s="132" t="s">
        <v>1108</v>
      </c>
      <c r="H1757" s="132" t="s">
        <v>373</v>
      </c>
      <c r="I1757" s="132" t="s">
        <v>1100</v>
      </c>
      <c r="J1757" s="132" t="s">
        <v>2671</v>
      </c>
      <c r="K1757" s="132" t="s">
        <v>2672</v>
      </c>
      <c r="L1757" s="132" t="s">
        <v>2673</v>
      </c>
      <c r="M1757" s="132" t="s">
        <v>4924</v>
      </c>
      <c r="N1757" s="132" t="s">
        <v>1117</v>
      </c>
      <c r="O1757" s="132" t="s">
        <v>4925</v>
      </c>
      <c r="P1757" s="132" t="s">
        <v>4923</v>
      </c>
      <c r="Q1757" s="132" t="s">
        <v>1108</v>
      </c>
    </row>
    <row r="1758" spans="1:17" x14ac:dyDescent="0.2">
      <c r="A1758" t="s">
        <v>138</v>
      </c>
      <c r="B1758" s="141">
        <f t="shared" si="28"/>
        <v>3.11</v>
      </c>
      <c r="C1758" s="280">
        <v>45899</v>
      </c>
      <c r="D1758" s="279">
        <v>45902</v>
      </c>
      <c r="E1758" s="279">
        <v>45906</v>
      </c>
      <c r="F1758" s="132"/>
      <c r="G1758" s="132" t="s">
        <v>1108</v>
      </c>
      <c r="H1758" s="132" t="s">
        <v>373</v>
      </c>
      <c r="I1758" s="132" t="s">
        <v>1100</v>
      </c>
      <c r="J1758" s="132" t="s">
        <v>1730</v>
      </c>
      <c r="K1758" s="132" t="s">
        <v>1731</v>
      </c>
      <c r="L1758" s="132" t="s">
        <v>1732</v>
      </c>
      <c r="M1758" s="132" t="s">
        <v>4926</v>
      </c>
      <c r="N1758" s="132" t="s">
        <v>1112</v>
      </c>
      <c r="O1758" s="132" t="s">
        <v>4927</v>
      </c>
      <c r="P1758" s="132" t="s">
        <v>4923</v>
      </c>
      <c r="Q1758" s="132" t="s">
        <v>1108</v>
      </c>
    </row>
    <row r="1759" spans="1:17" x14ac:dyDescent="0.2">
      <c r="A1759" t="s">
        <v>139</v>
      </c>
      <c r="B1759" s="141">
        <f t="shared" si="28"/>
        <v>4.57</v>
      </c>
      <c r="C1759" s="280">
        <v>45899</v>
      </c>
      <c r="D1759" s="279">
        <v>45902</v>
      </c>
      <c r="E1759" s="279">
        <v>45906</v>
      </c>
      <c r="F1759" s="132"/>
      <c r="G1759" s="132" t="s">
        <v>1108</v>
      </c>
      <c r="H1759" s="132" t="s">
        <v>373</v>
      </c>
      <c r="I1759" s="132" t="s">
        <v>1100</v>
      </c>
      <c r="J1759" s="132" t="s">
        <v>2671</v>
      </c>
      <c r="K1759" s="132" t="s">
        <v>1927</v>
      </c>
      <c r="L1759" s="132" t="s">
        <v>2740</v>
      </c>
      <c r="M1759" s="132" t="s">
        <v>4928</v>
      </c>
      <c r="N1759" s="132" t="s">
        <v>1112</v>
      </c>
      <c r="O1759" s="132" t="s">
        <v>4929</v>
      </c>
      <c r="P1759" s="132" t="s">
        <v>4923</v>
      </c>
      <c r="Q1759" s="132" t="s">
        <v>1108</v>
      </c>
    </row>
    <row r="1760" spans="1:17" x14ac:dyDescent="0.2">
      <c r="A1760" t="s">
        <v>139</v>
      </c>
      <c r="B1760" s="141">
        <f t="shared" si="28"/>
        <v>4.6000000000000005</v>
      </c>
      <c r="C1760" s="280">
        <v>45899</v>
      </c>
      <c r="D1760" s="279">
        <v>45902</v>
      </c>
      <c r="E1760" s="279">
        <v>45906</v>
      </c>
      <c r="F1760" s="132"/>
      <c r="G1760" s="132" t="s">
        <v>1108</v>
      </c>
      <c r="H1760" s="132" t="s">
        <v>373</v>
      </c>
      <c r="I1760" s="132" t="s">
        <v>1100</v>
      </c>
      <c r="J1760" s="132" t="s">
        <v>2671</v>
      </c>
      <c r="K1760" s="132" t="s">
        <v>2672</v>
      </c>
      <c r="L1760" s="132" t="s">
        <v>2673</v>
      </c>
      <c r="M1760" s="132" t="s">
        <v>4930</v>
      </c>
      <c r="N1760" s="132" t="s">
        <v>1117</v>
      </c>
      <c r="O1760" s="132" t="s">
        <v>4931</v>
      </c>
      <c r="P1760" s="132" t="s">
        <v>4923</v>
      </c>
      <c r="Q1760" s="132" t="s">
        <v>1108</v>
      </c>
    </row>
    <row r="1761" spans="1:17" x14ac:dyDescent="0.2">
      <c r="A1761" t="s">
        <v>81</v>
      </c>
      <c r="B1761" s="141">
        <f t="shared" si="28"/>
        <v>58.56</v>
      </c>
      <c r="C1761" s="280">
        <v>45899</v>
      </c>
      <c r="D1761" s="279">
        <v>45902</v>
      </c>
      <c r="E1761" s="279">
        <v>45906</v>
      </c>
      <c r="F1761" s="132"/>
      <c r="G1761" s="132" t="s">
        <v>4780</v>
      </c>
      <c r="H1761" s="132" t="s">
        <v>373</v>
      </c>
      <c r="I1761" s="132" t="s">
        <v>1100</v>
      </c>
      <c r="J1761" s="132" t="s">
        <v>4623</v>
      </c>
      <c r="K1761" s="132" t="s">
        <v>4672</v>
      </c>
      <c r="L1761" s="132" t="s">
        <v>4673</v>
      </c>
      <c r="M1761" s="132" t="s">
        <v>4932</v>
      </c>
      <c r="N1761" s="132" t="s">
        <v>1105</v>
      </c>
      <c r="O1761" s="132" t="s">
        <v>4933</v>
      </c>
      <c r="P1761" s="132" t="s">
        <v>4923</v>
      </c>
      <c r="Q1761" s="132" t="s">
        <v>1108</v>
      </c>
    </row>
    <row r="1762" spans="1:17" x14ac:dyDescent="0.2">
      <c r="A1762" t="s">
        <v>138</v>
      </c>
      <c r="B1762" s="141">
        <f t="shared" si="28"/>
        <v>3.11</v>
      </c>
      <c r="C1762" s="280">
        <v>45899</v>
      </c>
      <c r="D1762" s="279">
        <v>45902</v>
      </c>
      <c r="E1762" s="279">
        <v>45906</v>
      </c>
      <c r="F1762" s="132"/>
      <c r="G1762" s="132" t="s">
        <v>1108</v>
      </c>
      <c r="H1762" s="132" t="s">
        <v>373</v>
      </c>
      <c r="I1762" s="132" t="s">
        <v>1100</v>
      </c>
      <c r="J1762" s="132" t="s">
        <v>1730</v>
      </c>
      <c r="K1762" s="132" t="s">
        <v>1731</v>
      </c>
      <c r="L1762" s="132" t="s">
        <v>1732</v>
      </c>
      <c r="M1762" s="132" t="s">
        <v>4934</v>
      </c>
      <c r="N1762" s="132" t="s">
        <v>1112</v>
      </c>
      <c r="O1762" s="132" t="s">
        <v>4935</v>
      </c>
      <c r="P1762" s="132" t="s">
        <v>4923</v>
      </c>
      <c r="Q1762" s="132" t="s">
        <v>1108</v>
      </c>
    </row>
    <row r="1763" spans="1:17" x14ac:dyDescent="0.2">
      <c r="A1763" t="s">
        <v>138</v>
      </c>
      <c r="B1763" s="141">
        <f t="shared" si="28"/>
        <v>3.11</v>
      </c>
      <c r="C1763" s="280">
        <v>45899</v>
      </c>
      <c r="D1763" s="279">
        <v>45902</v>
      </c>
      <c r="E1763" s="279">
        <v>45906</v>
      </c>
      <c r="F1763" s="132"/>
      <c r="G1763" s="132" t="s">
        <v>1108</v>
      </c>
      <c r="H1763" s="132" t="s">
        <v>373</v>
      </c>
      <c r="I1763" s="132" t="s">
        <v>1100</v>
      </c>
      <c r="J1763" s="132" t="s">
        <v>1730</v>
      </c>
      <c r="K1763" s="132" t="s">
        <v>1731</v>
      </c>
      <c r="L1763" s="132" t="s">
        <v>1732</v>
      </c>
      <c r="M1763" s="132" t="s">
        <v>4936</v>
      </c>
      <c r="N1763" s="132" t="s">
        <v>1112</v>
      </c>
      <c r="O1763" s="132" t="s">
        <v>4937</v>
      </c>
      <c r="P1763" s="132" t="s">
        <v>4923</v>
      </c>
      <c r="Q1763" s="132" t="s">
        <v>1108</v>
      </c>
    </row>
    <row r="1764" spans="1:17" x14ac:dyDescent="0.2">
      <c r="A1764" t="s">
        <v>81</v>
      </c>
      <c r="B1764" s="141">
        <f t="shared" si="28"/>
        <v>58.56</v>
      </c>
      <c r="C1764" s="280">
        <v>45899</v>
      </c>
      <c r="D1764" s="279">
        <v>45902</v>
      </c>
      <c r="E1764" s="279">
        <v>45906</v>
      </c>
      <c r="F1764" s="132"/>
      <c r="G1764" s="132" t="s">
        <v>4938</v>
      </c>
      <c r="H1764" s="132" t="s">
        <v>373</v>
      </c>
      <c r="I1764" s="132" t="s">
        <v>1100</v>
      </c>
      <c r="J1764" s="132" t="s">
        <v>4623</v>
      </c>
      <c r="K1764" s="132" t="s">
        <v>4672</v>
      </c>
      <c r="L1764" s="132" t="s">
        <v>4673</v>
      </c>
      <c r="M1764" s="281" t="s">
        <v>4939</v>
      </c>
      <c r="N1764" s="132" t="s">
        <v>1105</v>
      </c>
      <c r="O1764" s="132" t="s">
        <v>4940</v>
      </c>
      <c r="P1764" s="132" t="s">
        <v>4923</v>
      </c>
      <c r="Q1764" s="132" t="s">
        <v>1108</v>
      </c>
    </row>
    <row r="1765" spans="1:17" x14ac:dyDescent="0.2">
      <c r="A1765" t="s">
        <v>138</v>
      </c>
      <c r="B1765" s="141">
        <f t="shared" si="28"/>
        <v>3.13</v>
      </c>
      <c r="C1765" s="280">
        <v>45899</v>
      </c>
      <c r="D1765" s="279">
        <v>45902</v>
      </c>
      <c r="E1765" s="279">
        <v>45906</v>
      </c>
      <c r="F1765" s="132"/>
      <c r="G1765" s="132" t="s">
        <v>1108</v>
      </c>
      <c r="H1765" s="132" t="s">
        <v>373</v>
      </c>
      <c r="I1765" s="132" t="s">
        <v>1100</v>
      </c>
      <c r="J1765" s="132" t="s">
        <v>1730</v>
      </c>
      <c r="K1765" s="132" t="s">
        <v>1742</v>
      </c>
      <c r="L1765" s="132" t="s">
        <v>1743</v>
      </c>
      <c r="M1765" s="132" t="s">
        <v>4941</v>
      </c>
      <c r="N1765" s="132" t="s">
        <v>1117</v>
      </c>
      <c r="O1765" s="132" t="s">
        <v>4942</v>
      </c>
      <c r="P1765" s="132" t="s">
        <v>4923</v>
      </c>
      <c r="Q1765" s="132" t="s">
        <v>1108</v>
      </c>
    </row>
    <row r="1766" spans="1:17" x14ac:dyDescent="0.2">
      <c r="A1766" t="s">
        <v>139</v>
      </c>
      <c r="B1766" s="141">
        <f t="shared" si="28"/>
        <v>4.6000000000000005</v>
      </c>
      <c r="C1766" s="280">
        <v>45899</v>
      </c>
      <c r="D1766" s="279">
        <v>45902</v>
      </c>
      <c r="E1766" s="279">
        <v>45906</v>
      </c>
      <c r="F1766" s="132"/>
      <c r="G1766" s="132" t="s">
        <v>1108</v>
      </c>
      <c r="H1766" s="132" t="s">
        <v>373</v>
      </c>
      <c r="I1766" s="132" t="s">
        <v>1100</v>
      </c>
      <c r="J1766" s="132" t="s">
        <v>2671</v>
      </c>
      <c r="K1766" s="132" t="s">
        <v>2672</v>
      </c>
      <c r="L1766" s="132" t="s">
        <v>2673</v>
      </c>
      <c r="M1766" s="132" t="s">
        <v>4943</v>
      </c>
      <c r="N1766" s="132" t="s">
        <v>1117</v>
      </c>
      <c r="O1766" s="132" t="s">
        <v>4944</v>
      </c>
      <c r="P1766" s="132" t="s">
        <v>4923</v>
      </c>
      <c r="Q1766" s="132" t="s">
        <v>1108</v>
      </c>
    </row>
    <row r="1767" spans="1:17" x14ac:dyDescent="0.2">
      <c r="A1767" t="s">
        <v>81</v>
      </c>
      <c r="B1767" s="141">
        <f t="shared" si="28"/>
        <v>58.56</v>
      </c>
      <c r="C1767" s="280">
        <v>45899</v>
      </c>
      <c r="D1767" s="279">
        <v>45902</v>
      </c>
      <c r="E1767" s="279">
        <v>45906</v>
      </c>
      <c r="F1767" s="132"/>
      <c r="G1767" s="132" t="s">
        <v>4945</v>
      </c>
      <c r="H1767" s="132" t="s">
        <v>373</v>
      </c>
      <c r="I1767" s="132" t="s">
        <v>1100</v>
      </c>
      <c r="J1767" s="132" t="s">
        <v>4623</v>
      </c>
      <c r="K1767" s="132" t="s">
        <v>4672</v>
      </c>
      <c r="L1767" s="132" t="s">
        <v>4673</v>
      </c>
      <c r="M1767" s="132" t="s">
        <v>4946</v>
      </c>
      <c r="N1767" s="132" t="s">
        <v>1105</v>
      </c>
      <c r="O1767" s="132" t="s">
        <v>4947</v>
      </c>
      <c r="P1767" s="132" t="s">
        <v>4923</v>
      </c>
      <c r="Q1767" s="132" t="s">
        <v>1108</v>
      </c>
    </row>
    <row r="1768" spans="1:17" x14ac:dyDescent="0.2">
      <c r="A1768" t="s">
        <v>138</v>
      </c>
      <c r="B1768" s="141">
        <f t="shared" si="28"/>
        <v>3.13</v>
      </c>
      <c r="C1768" s="280">
        <v>45899</v>
      </c>
      <c r="D1768" s="279">
        <v>45902</v>
      </c>
      <c r="E1768" s="279">
        <v>45906</v>
      </c>
      <c r="F1768" s="132"/>
      <c r="G1768" s="132" t="s">
        <v>1108</v>
      </c>
      <c r="H1768" s="132" t="s">
        <v>373</v>
      </c>
      <c r="I1768" s="132" t="s">
        <v>1100</v>
      </c>
      <c r="J1768" s="132" t="s">
        <v>1730</v>
      </c>
      <c r="K1768" s="132" t="s">
        <v>1742</v>
      </c>
      <c r="L1768" s="132" t="s">
        <v>1743</v>
      </c>
      <c r="M1768" s="132" t="s">
        <v>4948</v>
      </c>
      <c r="N1768" s="132" t="s">
        <v>1117</v>
      </c>
      <c r="O1768" s="132" t="s">
        <v>4949</v>
      </c>
      <c r="P1768" s="132" t="s">
        <v>4923</v>
      </c>
      <c r="Q1768" s="132" t="s">
        <v>1108</v>
      </c>
    </row>
    <row r="1769" spans="1:17" x14ac:dyDescent="0.2">
      <c r="A1769" t="s">
        <v>138</v>
      </c>
      <c r="B1769" s="141">
        <f t="shared" si="28"/>
        <v>3.13</v>
      </c>
      <c r="C1769" s="280">
        <v>45899</v>
      </c>
      <c r="D1769" s="279">
        <v>45902</v>
      </c>
      <c r="E1769" s="279">
        <v>45906</v>
      </c>
      <c r="F1769" s="132"/>
      <c r="G1769" s="132" t="s">
        <v>1108</v>
      </c>
      <c r="H1769" s="132" t="s">
        <v>373</v>
      </c>
      <c r="I1769" s="132" t="s">
        <v>1100</v>
      </c>
      <c r="J1769" s="132" t="s">
        <v>1730</v>
      </c>
      <c r="K1769" s="132" t="s">
        <v>1742</v>
      </c>
      <c r="L1769" s="132" t="s">
        <v>1743</v>
      </c>
      <c r="M1769" s="132" t="s">
        <v>4950</v>
      </c>
      <c r="N1769" s="132" t="s">
        <v>1117</v>
      </c>
      <c r="O1769" s="132" t="s">
        <v>4951</v>
      </c>
      <c r="P1769" s="132" t="s">
        <v>4923</v>
      </c>
      <c r="Q1769" s="132" t="s">
        <v>1108</v>
      </c>
    </row>
    <row r="1770" spans="1:17" x14ac:dyDescent="0.2">
      <c r="A1770" t="s">
        <v>138</v>
      </c>
      <c r="B1770" s="141">
        <f t="shared" si="28"/>
        <v>3.11</v>
      </c>
      <c r="C1770" s="280">
        <v>45899</v>
      </c>
      <c r="D1770" s="279">
        <v>45902</v>
      </c>
      <c r="E1770" s="279">
        <v>45906</v>
      </c>
      <c r="F1770" s="132"/>
      <c r="G1770" s="132" t="s">
        <v>1108</v>
      </c>
      <c r="H1770" s="132" t="s">
        <v>373</v>
      </c>
      <c r="I1770" s="132" t="s">
        <v>1100</v>
      </c>
      <c r="J1770" s="132" t="s">
        <v>1730</v>
      </c>
      <c r="K1770" s="132" t="s">
        <v>1731</v>
      </c>
      <c r="L1770" s="132" t="s">
        <v>1732</v>
      </c>
      <c r="M1770" s="132" t="s">
        <v>4952</v>
      </c>
      <c r="N1770" s="132" t="s">
        <v>1112</v>
      </c>
      <c r="O1770" s="132" t="s">
        <v>4953</v>
      </c>
      <c r="P1770" s="132" t="s">
        <v>4923</v>
      </c>
      <c r="Q1770" s="132" t="s">
        <v>1108</v>
      </c>
    </row>
    <row r="1771" spans="1:17" x14ac:dyDescent="0.2">
      <c r="A1771" t="s">
        <v>81</v>
      </c>
      <c r="B1771" s="141">
        <f t="shared" si="28"/>
        <v>58.56</v>
      </c>
      <c r="C1771" s="280">
        <v>45899</v>
      </c>
      <c r="D1771" s="279">
        <v>45902</v>
      </c>
      <c r="E1771" s="279">
        <v>45906</v>
      </c>
      <c r="F1771" s="132"/>
      <c r="G1771" s="132" t="s">
        <v>4714</v>
      </c>
      <c r="H1771" s="132" t="s">
        <v>373</v>
      </c>
      <c r="I1771" s="132" t="s">
        <v>1100</v>
      </c>
      <c r="J1771" s="132" t="s">
        <v>4623</v>
      </c>
      <c r="K1771" s="132" t="s">
        <v>4672</v>
      </c>
      <c r="L1771" s="132" t="s">
        <v>4673</v>
      </c>
      <c r="M1771" s="132" t="s">
        <v>4954</v>
      </c>
      <c r="N1771" s="132" t="s">
        <v>1105</v>
      </c>
      <c r="O1771" s="132" t="s">
        <v>4955</v>
      </c>
      <c r="P1771" s="132" t="s">
        <v>4923</v>
      </c>
      <c r="Q1771" s="132" t="s">
        <v>1108</v>
      </c>
    </row>
    <row r="1772" spans="1:17" x14ac:dyDescent="0.2">
      <c r="A1772" t="s">
        <v>138</v>
      </c>
      <c r="B1772" s="141">
        <f t="shared" si="28"/>
        <v>3.13</v>
      </c>
      <c r="C1772" s="280">
        <v>45899</v>
      </c>
      <c r="D1772" s="279">
        <v>45902</v>
      </c>
      <c r="E1772" s="279">
        <v>45906</v>
      </c>
      <c r="F1772" s="132"/>
      <c r="G1772" s="132" t="s">
        <v>1108</v>
      </c>
      <c r="H1772" s="132" t="s">
        <v>373</v>
      </c>
      <c r="I1772" s="132" t="s">
        <v>1100</v>
      </c>
      <c r="J1772" s="132" t="s">
        <v>1730</v>
      </c>
      <c r="K1772" s="132" t="s">
        <v>1742</v>
      </c>
      <c r="L1772" s="132" t="s">
        <v>1743</v>
      </c>
      <c r="M1772" s="132" t="s">
        <v>4956</v>
      </c>
      <c r="N1772" s="132" t="s">
        <v>4957</v>
      </c>
      <c r="O1772" s="132" t="s">
        <v>4958</v>
      </c>
      <c r="P1772" s="132" t="s">
        <v>4923</v>
      </c>
      <c r="Q1772" s="132" t="s">
        <v>1108</v>
      </c>
    </row>
    <row r="1773" spans="1:17" x14ac:dyDescent="0.2">
      <c r="A1773" t="s">
        <v>81</v>
      </c>
      <c r="B1773" s="141">
        <f t="shared" si="28"/>
        <v>58.56</v>
      </c>
      <c r="C1773" s="280">
        <v>45899</v>
      </c>
      <c r="D1773" s="279">
        <v>45902</v>
      </c>
      <c r="E1773" s="279">
        <v>45906</v>
      </c>
      <c r="F1773" s="132"/>
      <c r="G1773" s="132" t="s">
        <v>4809</v>
      </c>
      <c r="H1773" s="132" t="s">
        <v>373</v>
      </c>
      <c r="I1773" s="132" t="s">
        <v>1100</v>
      </c>
      <c r="J1773" s="132" t="s">
        <v>4623</v>
      </c>
      <c r="K1773" s="132" t="s">
        <v>4672</v>
      </c>
      <c r="L1773" s="132" t="s">
        <v>4673</v>
      </c>
      <c r="M1773" s="132" t="s">
        <v>4959</v>
      </c>
      <c r="N1773" s="132" t="s">
        <v>1105</v>
      </c>
      <c r="O1773" s="132" t="s">
        <v>4960</v>
      </c>
      <c r="P1773" s="132" t="s">
        <v>4923</v>
      </c>
      <c r="Q1773" s="132" t="s">
        <v>1108</v>
      </c>
    </row>
    <row r="1774" spans="1:17" x14ac:dyDescent="0.2">
      <c r="A1774" t="s">
        <v>138</v>
      </c>
      <c r="B1774" s="141">
        <f t="shared" ref="B1774:B1837" si="29">_xlfn.NUMBERVALUE(L1774)*0.01</f>
        <v>3.11</v>
      </c>
      <c r="C1774" s="280">
        <v>45899</v>
      </c>
      <c r="D1774" s="279">
        <v>45902</v>
      </c>
      <c r="E1774" s="279">
        <v>45906</v>
      </c>
      <c r="F1774" s="132"/>
      <c r="G1774" s="132" t="s">
        <v>1108</v>
      </c>
      <c r="H1774" s="132" t="s">
        <v>373</v>
      </c>
      <c r="I1774" s="132" t="s">
        <v>1100</v>
      </c>
      <c r="J1774" s="132" t="s">
        <v>1730</v>
      </c>
      <c r="K1774" s="132" t="s">
        <v>1731</v>
      </c>
      <c r="L1774" s="132" t="s">
        <v>1732</v>
      </c>
      <c r="M1774" s="132" t="s">
        <v>4961</v>
      </c>
      <c r="N1774" s="132" t="s">
        <v>1112</v>
      </c>
      <c r="O1774" s="132" t="s">
        <v>4962</v>
      </c>
      <c r="P1774" s="132" t="s">
        <v>4923</v>
      </c>
      <c r="Q1774" s="132" t="s">
        <v>1108</v>
      </c>
    </row>
    <row r="1775" spans="1:17" x14ac:dyDescent="0.2">
      <c r="A1775" t="s">
        <v>138</v>
      </c>
      <c r="B1775" s="141">
        <f t="shared" si="29"/>
        <v>3.13</v>
      </c>
      <c r="C1775" s="280">
        <v>45899</v>
      </c>
      <c r="D1775" s="279">
        <v>45902</v>
      </c>
      <c r="E1775" s="279">
        <v>45906</v>
      </c>
      <c r="F1775" s="132"/>
      <c r="G1775" s="132" t="s">
        <v>1108</v>
      </c>
      <c r="H1775" s="132" t="s">
        <v>373</v>
      </c>
      <c r="I1775" s="132" t="s">
        <v>1100</v>
      </c>
      <c r="J1775" s="132" t="s">
        <v>1730</v>
      </c>
      <c r="K1775" s="132" t="s">
        <v>1742</v>
      </c>
      <c r="L1775" s="132" t="s">
        <v>1743</v>
      </c>
      <c r="M1775" s="132" t="s">
        <v>4963</v>
      </c>
      <c r="N1775" s="132" t="s">
        <v>1117</v>
      </c>
      <c r="O1775" s="132" t="s">
        <v>4964</v>
      </c>
      <c r="P1775" s="132" t="s">
        <v>4923</v>
      </c>
      <c r="Q1775" s="132" t="s">
        <v>1108</v>
      </c>
    </row>
    <row r="1776" spans="1:17" x14ac:dyDescent="0.2">
      <c r="A1776" t="s">
        <v>138</v>
      </c>
      <c r="B1776" s="141">
        <f t="shared" si="29"/>
        <v>3.11</v>
      </c>
      <c r="C1776" s="280">
        <v>45899</v>
      </c>
      <c r="D1776" s="279">
        <v>45902</v>
      </c>
      <c r="E1776" s="279">
        <v>45906</v>
      </c>
      <c r="F1776" s="132"/>
      <c r="G1776" s="132" t="s">
        <v>1108</v>
      </c>
      <c r="H1776" s="132" t="s">
        <v>373</v>
      </c>
      <c r="I1776" s="132" t="s">
        <v>1100</v>
      </c>
      <c r="J1776" s="132" t="s">
        <v>1730</v>
      </c>
      <c r="K1776" s="132" t="s">
        <v>1731</v>
      </c>
      <c r="L1776" s="132" t="s">
        <v>1732</v>
      </c>
      <c r="M1776" s="132" t="s">
        <v>4965</v>
      </c>
      <c r="N1776" s="132" t="s">
        <v>1112</v>
      </c>
      <c r="O1776" s="132" t="s">
        <v>4966</v>
      </c>
      <c r="P1776" s="132" t="s">
        <v>4923</v>
      </c>
      <c r="Q1776" s="132" t="s">
        <v>1108</v>
      </c>
    </row>
    <row r="1777" spans="1:17" x14ac:dyDescent="0.2">
      <c r="A1777" t="s">
        <v>81</v>
      </c>
      <c r="B1777" s="141">
        <f t="shared" si="29"/>
        <v>58.2</v>
      </c>
      <c r="C1777" s="280">
        <v>45899</v>
      </c>
      <c r="D1777" s="279">
        <v>45902</v>
      </c>
      <c r="E1777" s="279">
        <v>45906</v>
      </c>
      <c r="F1777" s="132"/>
      <c r="G1777" s="132" t="s">
        <v>1108</v>
      </c>
      <c r="H1777" s="132" t="s">
        <v>373</v>
      </c>
      <c r="I1777" s="132" t="s">
        <v>1100</v>
      </c>
      <c r="J1777" s="132" t="s">
        <v>4623</v>
      </c>
      <c r="K1777" s="132" t="s">
        <v>4624</v>
      </c>
      <c r="L1777" s="132" t="s">
        <v>4625</v>
      </c>
      <c r="M1777" s="132" t="s">
        <v>4967</v>
      </c>
      <c r="N1777" s="132" t="s">
        <v>1112</v>
      </c>
      <c r="O1777" s="132" t="s">
        <v>4968</v>
      </c>
      <c r="P1777" s="132" t="s">
        <v>4923</v>
      </c>
      <c r="Q1777" s="132" t="s">
        <v>1108</v>
      </c>
    </row>
    <row r="1778" spans="1:17" x14ac:dyDescent="0.2">
      <c r="A1778" t="s">
        <v>138</v>
      </c>
      <c r="B1778" s="141">
        <f t="shared" si="29"/>
        <v>3.11</v>
      </c>
      <c r="C1778" s="280">
        <v>45899</v>
      </c>
      <c r="D1778" s="279">
        <v>45902</v>
      </c>
      <c r="E1778" s="279">
        <v>45906</v>
      </c>
      <c r="F1778" s="132"/>
      <c r="G1778" s="132" t="s">
        <v>1108</v>
      </c>
      <c r="H1778" s="132" t="s">
        <v>373</v>
      </c>
      <c r="I1778" s="132" t="s">
        <v>1100</v>
      </c>
      <c r="J1778" s="132" t="s">
        <v>1730</v>
      </c>
      <c r="K1778" s="132" t="s">
        <v>1731</v>
      </c>
      <c r="L1778" s="132" t="s">
        <v>1732</v>
      </c>
      <c r="M1778" s="132" t="s">
        <v>4969</v>
      </c>
      <c r="N1778" s="132" t="s">
        <v>1112</v>
      </c>
      <c r="O1778" s="132" t="s">
        <v>4970</v>
      </c>
      <c r="P1778" s="132" t="s">
        <v>4923</v>
      </c>
      <c r="Q1778" s="132" t="s">
        <v>1108</v>
      </c>
    </row>
    <row r="1779" spans="1:17" x14ac:dyDescent="0.2">
      <c r="A1779" t="s">
        <v>138</v>
      </c>
      <c r="B1779" s="141">
        <f t="shared" si="29"/>
        <v>3.13</v>
      </c>
      <c r="C1779" s="280">
        <v>45899</v>
      </c>
      <c r="D1779" s="279">
        <v>45902</v>
      </c>
      <c r="E1779" s="279">
        <v>45906</v>
      </c>
      <c r="F1779" s="132"/>
      <c r="G1779" s="132" t="s">
        <v>1108</v>
      </c>
      <c r="H1779" s="132" t="s">
        <v>373</v>
      </c>
      <c r="I1779" s="132" t="s">
        <v>1100</v>
      </c>
      <c r="J1779" s="132" t="s">
        <v>1730</v>
      </c>
      <c r="K1779" s="132" t="s">
        <v>1742</v>
      </c>
      <c r="L1779" s="132" t="s">
        <v>1743</v>
      </c>
      <c r="M1779" s="132" t="s">
        <v>4971</v>
      </c>
      <c r="N1779" s="132" t="s">
        <v>1117</v>
      </c>
      <c r="O1779" s="132" t="s">
        <v>4972</v>
      </c>
      <c r="P1779" s="132" t="s">
        <v>4923</v>
      </c>
      <c r="Q1779" s="132" t="s">
        <v>1108</v>
      </c>
    </row>
    <row r="1780" spans="1:17" x14ac:dyDescent="0.2">
      <c r="A1780" t="s">
        <v>81</v>
      </c>
      <c r="B1780" s="141">
        <f t="shared" si="29"/>
        <v>58.56</v>
      </c>
      <c r="C1780" s="280">
        <v>45899</v>
      </c>
      <c r="D1780" s="279">
        <v>45902</v>
      </c>
      <c r="E1780" s="279">
        <v>45906</v>
      </c>
      <c r="F1780" s="132"/>
      <c r="G1780" s="132" t="s">
        <v>4658</v>
      </c>
      <c r="H1780" s="132" t="s">
        <v>373</v>
      </c>
      <c r="I1780" s="132" t="s">
        <v>1100</v>
      </c>
      <c r="J1780" s="132" t="s">
        <v>4623</v>
      </c>
      <c r="K1780" s="132" t="s">
        <v>4672</v>
      </c>
      <c r="L1780" s="132" t="s">
        <v>4673</v>
      </c>
      <c r="M1780" s="132" t="s">
        <v>4973</v>
      </c>
      <c r="N1780" s="132" t="s">
        <v>1105</v>
      </c>
      <c r="O1780" s="132" t="s">
        <v>4974</v>
      </c>
      <c r="P1780" s="132" t="s">
        <v>4923</v>
      </c>
      <c r="Q1780" s="132" t="s">
        <v>1108</v>
      </c>
    </row>
    <row r="1781" spans="1:17" x14ac:dyDescent="0.2">
      <c r="A1781" t="s">
        <v>138</v>
      </c>
      <c r="B1781" s="141">
        <f t="shared" si="29"/>
        <v>3.11</v>
      </c>
      <c r="C1781" s="280">
        <v>45899</v>
      </c>
      <c r="D1781" s="279">
        <v>45902</v>
      </c>
      <c r="E1781" s="279">
        <v>45906</v>
      </c>
      <c r="F1781" s="132"/>
      <c r="G1781" s="132" t="s">
        <v>1108</v>
      </c>
      <c r="H1781" s="132" t="s">
        <v>373</v>
      </c>
      <c r="I1781" s="132" t="s">
        <v>1100</v>
      </c>
      <c r="J1781" s="132" t="s">
        <v>1730</v>
      </c>
      <c r="K1781" s="132" t="s">
        <v>1731</v>
      </c>
      <c r="L1781" s="132" t="s">
        <v>1732</v>
      </c>
      <c r="M1781" s="132" t="s">
        <v>4975</v>
      </c>
      <c r="N1781" s="132" t="s">
        <v>1112</v>
      </c>
      <c r="O1781" s="132" t="s">
        <v>4976</v>
      </c>
      <c r="P1781" s="132" t="s">
        <v>4923</v>
      </c>
      <c r="Q1781" s="132" t="s">
        <v>1108</v>
      </c>
    </row>
    <row r="1782" spans="1:17" x14ac:dyDescent="0.2">
      <c r="A1782" t="s">
        <v>138</v>
      </c>
      <c r="B1782" s="141">
        <f t="shared" si="29"/>
        <v>3.11</v>
      </c>
      <c r="C1782" s="280">
        <v>45899</v>
      </c>
      <c r="D1782" s="279">
        <v>45902</v>
      </c>
      <c r="E1782" s="279">
        <v>45906</v>
      </c>
      <c r="F1782" s="132"/>
      <c r="G1782" s="132" t="s">
        <v>1108</v>
      </c>
      <c r="H1782" s="132" t="s">
        <v>373</v>
      </c>
      <c r="I1782" s="132" t="s">
        <v>1100</v>
      </c>
      <c r="J1782" s="132" t="s">
        <v>1730</v>
      </c>
      <c r="K1782" s="132" t="s">
        <v>1731</v>
      </c>
      <c r="L1782" s="132" t="s">
        <v>1732</v>
      </c>
      <c r="M1782" s="132" t="s">
        <v>4977</v>
      </c>
      <c r="N1782" s="132" t="s">
        <v>1112</v>
      </c>
      <c r="O1782" s="132" t="s">
        <v>4978</v>
      </c>
      <c r="P1782" s="132" t="s">
        <v>4923</v>
      </c>
      <c r="Q1782" s="132" t="s">
        <v>1108</v>
      </c>
    </row>
    <row r="1783" spans="1:17" x14ac:dyDescent="0.2">
      <c r="A1783" t="s">
        <v>81</v>
      </c>
      <c r="B1783" s="141">
        <f t="shared" si="29"/>
        <v>57.84</v>
      </c>
      <c r="C1783" s="280">
        <v>45899</v>
      </c>
      <c r="D1783" s="279">
        <v>45902</v>
      </c>
      <c r="E1783" s="279">
        <v>45906</v>
      </c>
      <c r="F1783" s="132"/>
      <c r="G1783" s="132" t="s">
        <v>4979</v>
      </c>
      <c r="H1783" s="132" t="s">
        <v>373</v>
      </c>
      <c r="I1783" s="132" t="s">
        <v>1100</v>
      </c>
      <c r="J1783" s="132" t="s">
        <v>4623</v>
      </c>
      <c r="K1783" s="132" t="s">
        <v>1414</v>
      </c>
      <c r="L1783" s="132" t="s">
        <v>4980</v>
      </c>
      <c r="M1783" s="132" t="s">
        <v>4981</v>
      </c>
      <c r="N1783" s="132" t="s">
        <v>1105</v>
      </c>
      <c r="O1783" s="132" t="s">
        <v>4982</v>
      </c>
      <c r="P1783" s="132" t="s">
        <v>4923</v>
      </c>
      <c r="Q1783" s="132" t="s">
        <v>1108</v>
      </c>
    </row>
    <row r="1784" spans="1:17" x14ac:dyDescent="0.2">
      <c r="A1784" t="s">
        <v>81</v>
      </c>
      <c r="B1784" s="141">
        <f t="shared" si="29"/>
        <v>58.2</v>
      </c>
      <c r="C1784" s="280">
        <v>45899</v>
      </c>
      <c r="D1784" s="279">
        <v>45902</v>
      </c>
      <c r="E1784" s="279">
        <v>45906</v>
      </c>
      <c r="F1784" s="132"/>
      <c r="G1784" s="132" t="s">
        <v>1108</v>
      </c>
      <c r="H1784" s="132" t="s">
        <v>373</v>
      </c>
      <c r="I1784" s="132" t="s">
        <v>1100</v>
      </c>
      <c r="J1784" s="132" t="s">
        <v>4623</v>
      </c>
      <c r="K1784" s="132" t="s">
        <v>4624</v>
      </c>
      <c r="L1784" s="132" t="s">
        <v>4625</v>
      </c>
      <c r="M1784" s="132" t="s">
        <v>4983</v>
      </c>
      <c r="N1784" s="132" t="s">
        <v>1112</v>
      </c>
      <c r="O1784" s="132" t="s">
        <v>4984</v>
      </c>
      <c r="P1784" s="132" t="s">
        <v>4923</v>
      </c>
      <c r="Q1784" s="132" t="s">
        <v>1108</v>
      </c>
    </row>
    <row r="1785" spans="1:17" x14ac:dyDescent="0.2">
      <c r="A1785" t="s">
        <v>138</v>
      </c>
      <c r="B1785" s="141">
        <f t="shared" si="29"/>
        <v>3.13</v>
      </c>
      <c r="C1785" s="280">
        <v>45900</v>
      </c>
      <c r="D1785" s="279">
        <v>45902</v>
      </c>
      <c r="E1785" s="279">
        <v>45906</v>
      </c>
      <c r="F1785" s="132"/>
      <c r="G1785" s="132" t="s">
        <v>1108</v>
      </c>
      <c r="H1785" s="132" t="s">
        <v>373</v>
      </c>
      <c r="I1785" s="132" t="s">
        <v>1100</v>
      </c>
      <c r="J1785" s="132" t="s">
        <v>1730</v>
      </c>
      <c r="K1785" s="132" t="s">
        <v>1742</v>
      </c>
      <c r="L1785" s="132" t="s">
        <v>1743</v>
      </c>
      <c r="M1785" s="132" t="s">
        <v>4985</v>
      </c>
      <c r="N1785" s="132" t="s">
        <v>1117</v>
      </c>
      <c r="O1785" s="281" t="s">
        <v>4986</v>
      </c>
      <c r="P1785" s="132" t="s">
        <v>4923</v>
      </c>
      <c r="Q1785" s="132" t="s">
        <v>1108</v>
      </c>
    </row>
    <row r="1786" spans="1:17" x14ac:dyDescent="0.2">
      <c r="A1786" t="s">
        <v>138</v>
      </c>
      <c r="B1786" s="141">
        <f t="shared" si="29"/>
        <v>3.11</v>
      </c>
      <c r="C1786" s="280">
        <v>45900</v>
      </c>
      <c r="D1786" s="279">
        <v>45902</v>
      </c>
      <c r="E1786" s="279">
        <v>45906</v>
      </c>
      <c r="F1786" s="132"/>
      <c r="G1786" s="132" t="s">
        <v>1108</v>
      </c>
      <c r="H1786" s="132" t="s">
        <v>373</v>
      </c>
      <c r="I1786" s="132" t="s">
        <v>1100</v>
      </c>
      <c r="J1786" s="132" t="s">
        <v>1730</v>
      </c>
      <c r="K1786" s="132" t="s">
        <v>1731</v>
      </c>
      <c r="L1786" s="132" t="s">
        <v>1732</v>
      </c>
      <c r="M1786" s="132" t="s">
        <v>4987</v>
      </c>
      <c r="N1786" s="132" t="s">
        <v>1112</v>
      </c>
      <c r="O1786" s="132" t="s">
        <v>4988</v>
      </c>
      <c r="P1786" s="132" t="s">
        <v>4923</v>
      </c>
      <c r="Q1786" s="132" t="s">
        <v>1108</v>
      </c>
    </row>
    <row r="1787" spans="1:17" x14ac:dyDescent="0.2">
      <c r="A1787" t="s">
        <v>138</v>
      </c>
      <c r="B1787" s="141">
        <f t="shared" si="29"/>
        <v>3.11</v>
      </c>
      <c r="C1787" s="280">
        <v>45900</v>
      </c>
      <c r="D1787" s="279">
        <v>45902</v>
      </c>
      <c r="E1787" s="279">
        <v>45906</v>
      </c>
      <c r="F1787" s="132"/>
      <c r="G1787" s="132" t="s">
        <v>1108</v>
      </c>
      <c r="H1787" s="132" t="s">
        <v>373</v>
      </c>
      <c r="I1787" s="132" t="s">
        <v>1100</v>
      </c>
      <c r="J1787" s="132" t="s">
        <v>1730</v>
      </c>
      <c r="K1787" s="132" t="s">
        <v>1731</v>
      </c>
      <c r="L1787" s="132" t="s">
        <v>1732</v>
      </c>
      <c r="M1787" s="132" t="s">
        <v>4989</v>
      </c>
      <c r="N1787" s="132" t="s">
        <v>1112</v>
      </c>
      <c r="O1787" s="132" t="s">
        <v>4990</v>
      </c>
      <c r="P1787" s="132" t="s">
        <v>4923</v>
      </c>
      <c r="Q1787" s="132" t="s">
        <v>1108</v>
      </c>
    </row>
    <row r="1788" spans="1:17" x14ac:dyDescent="0.2">
      <c r="A1788" t="s">
        <v>81</v>
      </c>
      <c r="B1788" s="141">
        <f t="shared" si="29"/>
        <v>58.2</v>
      </c>
      <c r="C1788" s="280">
        <v>45900</v>
      </c>
      <c r="D1788" s="279">
        <v>45902</v>
      </c>
      <c r="E1788" s="279">
        <v>45906</v>
      </c>
      <c r="F1788" s="132"/>
      <c r="G1788" s="132" t="s">
        <v>1108</v>
      </c>
      <c r="H1788" s="132" t="s">
        <v>373</v>
      </c>
      <c r="I1788" s="132" t="s">
        <v>1100</v>
      </c>
      <c r="J1788" s="132" t="s">
        <v>4623</v>
      </c>
      <c r="K1788" s="132" t="s">
        <v>4624</v>
      </c>
      <c r="L1788" s="132" t="s">
        <v>4625</v>
      </c>
      <c r="M1788" s="132" t="s">
        <v>4991</v>
      </c>
      <c r="N1788" s="132" t="s">
        <v>1112</v>
      </c>
      <c r="O1788" s="132" t="s">
        <v>4992</v>
      </c>
      <c r="P1788" s="132" t="s">
        <v>4923</v>
      </c>
      <c r="Q1788" s="132" t="s">
        <v>1108</v>
      </c>
    </row>
    <row r="1789" spans="1:17" x14ac:dyDescent="0.2">
      <c r="A1789" t="s">
        <v>81</v>
      </c>
      <c r="B1789" s="141">
        <f t="shared" si="29"/>
        <v>58.2</v>
      </c>
      <c r="C1789" s="280">
        <v>45900</v>
      </c>
      <c r="D1789" s="279">
        <v>45902</v>
      </c>
      <c r="E1789" s="279">
        <v>45906</v>
      </c>
      <c r="F1789" s="132"/>
      <c r="G1789" s="132" t="s">
        <v>1108</v>
      </c>
      <c r="H1789" s="132" t="s">
        <v>373</v>
      </c>
      <c r="I1789" s="132" t="s">
        <v>1100</v>
      </c>
      <c r="J1789" s="132" t="s">
        <v>4623</v>
      </c>
      <c r="K1789" s="132" t="s">
        <v>4624</v>
      </c>
      <c r="L1789" s="132" t="s">
        <v>4625</v>
      </c>
      <c r="M1789" s="132" t="s">
        <v>4993</v>
      </c>
      <c r="N1789" s="132" t="s">
        <v>1112</v>
      </c>
      <c r="O1789" s="132" t="s">
        <v>4994</v>
      </c>
      <c r="P1789" s="132" t="s">
        <v>4923</v>
      </c>
      <c r="Q1789" s="132" t="s">
        <v>1108</v>
      </c>
    </row>
    <row r="1790" spans="1:17" x14ac:dyDescent="0.2">
      <c r="A1790" t="s">
        <v>81</v>
      </c>
      <c r="B1790" s="141">
        <f t="shared" si="29"/>
        <v>58.56</v>
      </c>
      <c r="C1790" s="280">
        <v>45900</v>
      </c>
      <c r="D1790" s="279">
        <v>45902</v>
      </c>
      <c r="E1790" s="279">
        <v>45906</v>
      </c>
      <c r="F1790" s="132"/>
      <c r="G1790" s="132" t="s">
        <v>4765</v>
      </c>
      <c r="H1790" s="132" t="s">
        <v>373</v>
      </c>
      <c r="I1790" s="132" t="s">
        <v>1100</v>
      </c>
      <c r="J1790" s="132" t="s">
        <v>4623</v>
      </c>
      <c r="K1790" s="132" t="s">
        <v>4672</v>
      </c>
      <c r="L1790" s="132" t="s">
        <v>4673</v>
      </c>
      <c r="M1790" s="132" t="s">
        <v>4995</v>
      </c>
      <c r="N1790" s="132" t="s">
        <v>1105</v>
      </c>
      <c r="O1790" s="132" t="s">
        <v>4996</v>
      </c>
      <c r="P1790" s="132" t="s">
        <v>4923</v>
      </c>
      <c r="Q1790" s="132" t="s">
        <v>1108</v>
      </c>
    </row>
    <row r="1791" spans="1:17" x14ac:dyDescent="0.2">
      <c r="A1791" t="s">
        <v>138</v>
      </c>
      <c r="B1791" s="141">
        <f t="shared" si="29"/>
        <v>3.13</v>
      </c>
      <c r="C1791" s="280">
        <v>45900</v>
      </c>
      <c r="D1791" s="279">
        <v>45902</v>
      </c>
      <c r="E1791" s="279">
        <v>45906</v>
      </c>
      <c r="F1791" s="132"/>
      <c r="G1791" s="132" t="s">
        <v>4997</v>
      </c>
      <c r="H1791" s="132" t="s">
        <v>373</v>
      </c>
      <c r="I1791" s="132" t="s">
        <v>1100</v>
      </c>
      <c r="J1791" s="132" t="s">
        <v>1730</v>
      </c>
      <c r="K1791" s="132" t="s">
        <v>1742</v>
      </c>
      <c r="L1791" s="132" t="s">
        <v>1743</v>
      </c>
      <c r="M1791" s="132" t="s">
        <v>4998</v>
      </c>
      <c r="N1791" s="132" t="s">
        <v>1105</v>
      </c>
      <c r="O1791" s="132" t="s">
        <v>4999</v>
      </c>
      <c r="P1791" s="132" t="s">
        <v>4923</v>
      </c>
      <c r="Q1791" s="132" t="s">
        <v>1108</v>
      </c>
    </row>
    <row r="1792" spans="1:17" x14ac:dyDescent="0.2">
      <c r="A1792" t="s">
        <v>138</v>
      </c>
      <c r="B1792" s="141">
        <f t="shared" si="29"/>
        <v>3.13</v>
      </c>
      <c r="C1792" s="280">
        <v>45900</v>
      </c>
      <c r="D1792" s="279">
        <v>45902</v>
      </c>
      <c r="E1792" s="279">
        <v>45906</v>
      </c>
      <c r="F1792" s="132"/>
      <c r="G1792" s="132" t="s">
        <v>4920</v>
      </c>
      <c r="H1792" s="132" t="s">
        <v>373</v>
      </c>
      <c r="I1792" s="132" t="s">
        <v>1100</v>
      </c>
      <c r="J1792" s="132" t="s">
        <v>1730</v>
      </c>
      <c r="K1792" s="132" t="s">
        <v>1742</v>
      </c>
      <c r="L1792" s="132" t="s">
        <v>1743</v>
      </c>
      <c r="M1792" s="132" t="s">
        <v>5000</v>
      </c>
      <c r="N1792" s="132" t="s">
        <v>1105</v>
      </c>
      <c r="O1792" s="281" t="s">
        <v>5001</v>
      </c>
      <c r="P1792" s="132" t="s">
        <v>4923</v>
      </c>
      <c r="Q1792" s="132" t="s">
        <v>1108</v>
      </c>
    </row>
    <row r="1793" spans="1:17" x14ac:dyDescent="0.2">
      <c r="A1793" t="s">
        <v>81</v>
      </c>
      <c r="B1793" s="141">
        <f t="shared" si="29"/>
        <v>58.56</v>
      </c>
      <c r="C1793" s="280">
        <v>45900</v>
      </c>
      <c r="D1793" s="279">
        <v>45902</v>
      </c>
      <c r="E1793" s="279">
        <v>45906</v>
      </c>
      <c r="F1793" s="132"/>
      <c r="G1793" s="132" t="s">
        <v>4997</v>
      </c>
      <c r="H1793" s="132" t="s">
        <v>373</v>
      </c>
      <c r="I1793" s="132" t="s">
        <v>1100</v>
      </c>
      <c r="J1793" s="132" t="s">
        <v>4623</v>
      </c>
      <c r="K1793" s="132" t="s">
        <v>4672</v>
      </c>
      <c r="L1793" s="132" t="s">
        <v>4673</v>
      </c>
      <c r="M1793" s="132" t="s">
        <v>5002</v>
      </c>
      <c r="N1793" s="132" t="s">
        <v>1105</v>
      </c>
      <c r="O1793" s="132" t="s">
        <v>5003</v>
      </c>
      <c r="P1793" s="132" t="s">
        <v>4923</v>
      </c>
      <c r="Q1793" s="132" t="s">
        <v>1108</v>
      </c>
    </row>
    <row r="1794" spans="1:17" x14ac:dyDescent="0.2">
      <c r="A1794" t="s">
        <v>81</v>
      </c>
      <c r="B1794" s="141">
        <f t="shared" si="29"/>
        <v>58.2</v>
      </c>
      <c r="C1794" s="280">
        <v>45900</v>
      </c>
      <c r="D1794" s="279">
        <v>45902</v>
      </c>
      <c r="E1794" s="279">
        <v>45906</v>
      </c>
      <c r="F1794" s="132"/>
      <c r="G1794" s="132" t="s">
        <v>1108</v>
      </c>
      <c r="H1794" s="132" t="s">
        <v>373</v>
      </c>
      <c r="I1794" s="132" t="s">
        <v>1100</v>
      </c>
      <c r="J1794" s="132" t="s">
        <v>4623</v>
      </c>
      <c r="K1794" s="132" t="s">
        <v>4624</v>
      </c>
      <c r="L1794" s="132" t="s">
        <v>4625</v>
      </c>
      <c r="M1794" s="132" t="s">
        <v>5004</v>
      </c>
      <c r="N1794" s="132" t="s">
        <v>1112</v>
      </c>
      <c r="O1794" s="132" t="s">
        <v>5005</v>
      </c>
      <c r="P1794" s="132" t="s">
        <v>4923</v>
      </c>
      <c r="Q1794" s="132" t="s">
        <v>1108</v>
      </c>
    </row>
    <row r="1795" spans="1:17" x14ac:dyDescent="0.2">
      <c r="A1795" t="s">
        <v>138</v>
      </c>
      <c r="B1795" s="141">
        <f t="shared" si="29"/>
        <v>3.13</v>
      </c>
      <c r="C1795" s="280">
        <v>45900</v>
      </c>
      <c r="D1795" s="279">
        <v>45902</v>
      </c>
      <c r="E1795" s="279">
        <v>45906</v>
      </c>
      <c r="F1795" s="132"/>
      <c r="G1795" s="132" t="s">
        <v>1108</v>
      </c>
      <c r="H1795" s="132" t="s">
        <v>373</v>
      </c>
      <c r="I1795" s="132" t="s">
        <v>1100</v>
      </c>
      <c r="J1795" s="132" t="s">
        <v>1730</v>
      </c>
      <c r="K1795" s="132" t="s">
        <v>1742</v>
      </c>
      <c r="L1795" s="132" t="s">
        <v>1743</v>
      </c>
      <c r="M1795" s="132" t="s">
        <v>5006</v>
      </c>
      <c r="N1795" s="132" t="s">
        <v>1117</v>
      </c>
      <c r="O1795" s="132" t="s">
        <v>5007</v>
      </c>
      <c r="P1795" s="132" t="s">
        <v>4923</v>
      </c>
      <c r="Q1795" s="132" t="s">
        <v>1108</v>
      </c>
    </row>
    <row r="1796" spans="1:17" x14ac:dyDescent="0.2">
      <c r="A1796" t="s">
        <v>81</v>
      </c>
      <c r="B1796" s="141">
        <f t="shared" si="29"/>
        <v>58.56</v>
      </c>
      <c r="C1796" s="280">
        <v>45900</v>
      </c>
      <c r="D1796" s="279">
        <v>45902</v>
      </c>
      <c r="E1796" s="279">
        <v>45906</v>
      </c>
      <c r="F1796" s="132"/>
      <c r="G1796" s="132" t="s">
        <v>4784</v>
      </c>
      <c r="H1796" s="132" t="s">
        <v>373</v>
      </c>
      <c r="I1796" s="132" t="s">
        <v>1100</v>
      </c>
      <c r="J1796" s="132" t="s">
        <v>4623</v>
      </c>
      <c r="K1796" s="132" t="s">
        <v>4672</v>
      </c>
      <c r="L1796" s="132" t="s">
        <v>4673</v>
      </c>
      <c r="M1796" s="132" t="s">
        <v>5008</v>
      </c>
      <c r="N1796" s="132" t="s">
        <v>1105</v>
      </c>
      <c r="O1796" s="132" t="s">
        <v>5009</v>
      </c>
      <c r="P1796" s="132" t="s">
        <v>4923</v>
      </c>
      <c r="Q1796" s="132" t="s">
        <v>1108</v>
      </c>
    </row>
    <row r="1797" spans="1:17" x14ac:dyDescent="0.2">
      <c r="A1797" t="s">
        <v>138</v>
      </c>
      <c r="B1797" s="141">
        <f t="shared" si="29"/>
        <v>3.11</v>
      </c>
      <c r="C1797" s="280">
        <v>45900</v>
      </c>
      <c r="D1797" s="279">
        <v>45902</v>
      </c>
      <c r="E1797" s="279">
        <v>45906</v>
      </c>
      <c r="F1797" s="132"/>
      <c r="G1797" s="132" t="s">
        <v>1108</v>
      </c>
      <c r="H1797" s="132" t="s">
        <v>373</v>
      </c>
      <c r="I1797" s="132" t="s">
        <v>1100</v>
      </c>
      <c r="J1797" s="132" t="s">
        <v>1730</v>
      </c>
      <c r="K1797" s="132" t="s">
        <v>1731</v>
      </c>
      <c r="L1797" s="132" t="s">
        <v>1732</v>
      </c>
      <c r="M1797" s="132" t="s">
        <v>5010</v>
      </c>
      <c r="N1797" s="132" t="s">
        <v>1112</v>
      </c>
      <c r="O1797" s="132" t="s">
        <v>5011</v>
      </c>
      <c r="P1797" s="132" t="s">
        <v>4923</v>
      </c>
      <c r="Q1797" s="132" t="s">
        <v>1108</v>
      </c>
    </row>
    <row r="1798" spans="1:17" x14ac:dyDescent="0.2">
      <c r="A1798" t="s">
        <v>138</v>
      </c>
      <c r="B1798" s="141">
        <f t="shared" si="29"/>
        <v>3.13</v>
      </c>
      <c r="C1798" s="280">
        <v>45900</v>
      </c>
      <c r="D1798" s="279">
        <v>45902</v>
      </c>
      <c r="E1798" s="279">
        <v>45906</v>
      </c>
      <c r="F1798" s="132"/>
      <c r="G1798" s="132" t="s">
        <v>1108</v>
      </c>
      <c r="H1798" s="132" t="s">
        <v>373</v>
      </c>
      <c r="I1798" s="132" t="s">
        <v>1100</v>
      </c>
      <c r="J1798" s="132" t="s">
        <v>1730</v>
      </c>
      <c r="K1798" s="132" t="s">
        <v>1742</v>
      </c>
      <c r="L1798" s="132" t="s">
        <v>1743</v>
      </c>
      <c r="M1798" s="132" t="s">
        <v>5012</v>
      </c>
      <c r="N1798" s="132" t="s">
        <v>1117</v>
      </c>
      <c r="O1798" s="132" t="s">
        <v>5013</v>
      </c>
      <c r="P1798" s="132" t="s">
        <v>4923</v>
      </c>
      <c r="Q1798" s="132" t="s">
        <v>1108</v>
      </c>
    </row>
    <row r="1799" spans="1:17" x14ac:dyDescent="0.2">
      <c r="A1799" t="s">
        <v>81</v>
      </c>
      <c r="B1799" s="141">
        <f t="shared" si="29"/>
        <v>42.6</v>
      </c>
      <c r="C1799" s="280">
        <v>45900</v>
      </c>
      <c r="D1799" s="279">
        <v>45902</v>
      </c>
      <c r="E1799" s="279">
        <v>45906</v>
      </c>
      <c r="F1799" s="132"/>
      <c r="G1799" s="132" t="s">
        <v>1108</v>
      </c>
      <c r="H1799" s="132" t="s">
        <v>373</v>
      </c>
      <c r="I1799" s="132" t="s">
        <v>1100</v>
      </c>
      <c r="J1799" s="132" t="s">
        <v>4790</v>
      </c>
      <c r="K1799" s="132" t="s">
        <v>2463</v>
      </c>
      <c r="L1799" s="132" t="s">
        <v>5014</v>
      </c>
      <c r="M1799" s="132" t="s">
        <v>5015</v>
      </c>
      <c r="N1799" s="132" t="s">
        <v>1112</v>
      </c>
      <c r="O1799" s="132" t="s">
        <v>5016</v>
      </c>
      <c r="P1799" s="132" t="s">
        <v>4923</v>
      </c>
      <c r="Q1799" s="132" t="s">
        <v>1108</v>
      </c>
    </row>
    <row r="1800" spans="1:17" x14ac:dyDescent="0.2">
      <c r="A1800" t="s">
        <v>138</v>
      </c>
      <c r="B1800" s="141">
        <f t="shared" si="29"/>
        <v>3.11</v>
      </c>
      <c r="C1800" s="280">
        <v>45900</v>
      </c>
      <c r="D1800" s="279">
        <v>45902</v>
      </c>
      <c r="E1800" s="279">
        <v>45906</v>
      </c>
      <c r="F1800" s="132"/>
      <c r="G1800" s="132" t="s">
        <v>1108</v>
      </c>
      <c r="H1800" s="132" t="s">
        <v>373</v>
      </c>
      <c r="I1800" s="132" t="s">
        <v>1100</v>
      </c>
      <c r="J1800" s="132" t="s">
        <v>1730</v>
      </c>
      <c r="K1800" s="132" t="s">
        <v>1731</v>
      </c>
      <c r="L1800" s="132" t="s">
        <v>1732</v>
      </c>
      <c r="M1800" s="132" t="s">
        <v>5017</v>
      </c>
      <c r="N1800" s="132" t="s">
        <v>1112</v>
      </c>
      <c r="O1800" s="132" t="s">
        <v>5018</v>
      </c>
      <c r="P1800" s="132" t="s">
        <v>4923</v>
      </c>
      <c r="Q1800" s="132" t="s">
        <v>1108</v>
      </c>
    </row>
    <row r="1801" spans="1:17" x14ac:dyDescent="0.2">
      <c r="A1801" t="s">
        <v>138</v>
      </c>
      <c r="B1801" s="141">
        <f t="shared" si="29"/>
        <v>3.11</v>
      </c>
      <c r="C1801" s="280">
        <v>45900</v>
      </c>
      <c r="D1801" s="279">
        <v>45902</v>
      </c>
      <c r="E1801" s="279">
        <v>45906</v>
      </c>
      <c r="F1801" s="132"/>
      <c r="G1801" s="132" t="s">
        <v>1108</v>
      </c>
      <c r="H1801" s="132" t="s">
        <v>373</v>
      </c>
      <c r="I1801" s="132" t="s">
        <v>1100</v>
      </c>
      <c r="J1801" s="132" t="s">
        <v>1730</v>
      </c>
      <c r="K1801" s="132" t="s">
        <v>1731</v>
      </c>
      <c r="L1801" s="132" t="s">
        <v>1732</v>
      </c>
      <c r="M1801" s="132" t="s">
        <v>5019</v>
      </c>
      <c r="N1801" s="132" t="s">
        <v>1112</v>
      </c>
      <c r="O1801" s="132" t="s">
        <v>5020</v>
      </c>
      <c r="P1801" s="132" t="s">
        <v>4923</v>
      </c>
      <c r="Q1801" s="132" t="s">
        <v>1108</v>
      </c>
    </row>
    <row r="1802" spans="1:17" x14ac:dyDescent="0.2">
      <c r="A1802" t="s">
        <v>138</v>
      </c>
      <c r="B1802" s="141">
        <f t="shared" si="29"/>
        <v>3.11</v>
      </c>
      <c r="C1802" s="280">
        <v>45900</v>
      </c>
      <c r="D1802" s="279">
        <v>45902</v>
      </c>
      <c r="E1802" s="279">
        <v>45906</v>
      </c>
      <c r="F1802" s="132"/>
      <c r="G1802" s="132" t="s">
        <v>1108</v>
      </c>
      <c r="H1802" s="132" t="s">
        <v>373</v>
      </c>
      <c r="I1802" s="132" t="s">
        <v>1100</v>
      </c>
      <c r="J1802" s="132" t="s">
        <v>1730</v>
      </c>
      <c r="K1802" s="132" t="s">
        <v>1731</v>
      </c>
      <c r="L1802" s="132" t="s">
        <v>1732</v>
      </c>
      <c r="M1802" s="132" t="s">
        <v>5021</v>
      </c>
      <c r="N1802" s="132" t="s">
        <v>1112</v>
      </c>
      <c r="O1802" s="132" t="s">
        <v>5022</v>
      </c>
      <c r="P1802" s="132" t="s">
        <v>4923</v>
      </c>
      <c r="Q1802" s="132" t="s">
        <v>1108</v>
      </c>
    </row>
    <row r="1803" spans="1:17" x14ac:dyDescent="0.2">
      <c r="A1803" t="s">
        <v>81</v>
      </c>
      <c r="B1803" s="141">
        <f t="shared" si="29"/>
        <v>58.56</v>
      </c>
      <c r="C1803" s="280">
        <v>45900</v>
      </c>
      <c r="D1803" s="279">
        <v>45902</v>
      </c>
      <c r="E1803" s="279">
        <v>45906</v>
      </c>
      <c r="F1803" s="132"/>
      <c r="G1803" s="132" t="s">
        <v>5023</v>
      </c>
      <c r="H1803" s="132" t="s">
        <v>373</v>
      </c>
      <c r="I1803" s="132" t="s">
        <v>1100</v>
      </c>
      <c r="J1803" s="132" t="s">
        <v>4623</v>
      </c>
      <c r="K1803" s="132" t="s">
        <v>4672</v>
      </c>
      <c r="L1803" s="132" t="s">
        <v>4673</v>
      </c>
      <c r="M1803" s="132" t="s">
        <v>5024</v>
      </c>
      <c r="N1803" s="132" t="s">
        <v>1105</v>
      </c>
      <c r="O1803" s="132" t="s">
        <v>5025</v>
      </c>
      <c r="P1803" s="132" t="s">
        <v>4923</v>
      </c>
      <c r="Q1803" s="132" t="s">
        <v>1108</v>
      </c>
    </row>
    <row r="1804" spans="1:17" x14ac:dyDescent="0.2">
      <c r="A1804" t="s">
        <v>81</v>
      </c>
      <c r="B1804" s="141">
        <f t="shared" si="29"/>
        <v>58.56</v>
      </c>
      <c r="C1804" s="280">
        <v>45900</v>
      </c>
      <c r="D1804" s="279">
        <v>45902</v>
      </c>
      <c r="E1804" s="279">
        <v>45906</v>
      </c>
      <c r="F1804" s="132"/>
      <c r="G1804" s="132" t="s">
        <v>5026</v>
      </c>
      <c r="H1804" s="132" t="s">
        <v>373</v>
      </c>
      <c r="I1804" s="132" t="s">
        <v>1100</v>
      </c>
      <c r="J1804" s="132" t="s">
        <v>4623</v>
      </c>
      <c r="K1804" s="132" t="s">
        <v>4672</v>
      </c>
      <c r="L1804" s="132" t="s">
        <v>4673</v>
      </c>
      <c r="M1804" s="132" t="s">
        <v>5027</v>
      </c>
      <c r="N1804" s="132" t="s">
        <v>1105</v>
      </c>
      <c r="O1804" s="281" t="s">
        <v>5028</v>
      </c>
      <c r="P1804" s="132" t="s">
        <v>4923</v>
      </c>
      <c r="Q1804" s="132" t="s">
        <v>1108</v>
      </c>
    </row>
    <row r="1805" spans="1:17" x14ac:dyDescent="0.2">
      <c r="A1805" t="s">
        <v>138</v>
      </c>
      <c r="B1805" s="141">
        <f t="shared" si="29"/>
        <v>3.11</v>
      </c>
      <c r="C1805" s="280">
        <v>45900</v>
      </c>
      <c r="D1805" s="279">
        <v>45902</v>
      </c>
      <c r="E1805" s="279">
        <v>45906</v>
      </c>
      <c r="F1805" s="132"/>
      <c r="G1805" s="132" t="s">
        <v>1108</v>
      </c>
      <c r="H1805" s="132" t="s">
        <v>373</v>
      </c>
      <c r="I1805" s="132" t="s">
        <v>1100</v>
      </c>
      <c r="J1805" s="132" t="s">
        <v>1730</v>
      </c>
      <c r="K1805" s="132" t="s">
        <v>1731</v>
      </c>
      <c r="L1805" s="132" t="s">
        <v>1732</v>
      </c>
      <c r="M1805" s="132" t="s">
        <v>5029</v>
      </c>
      <c r="N1805" s="132" t="s">
        <v>1112</v>
      </c>
      <c r="O1805" s="132" t="s">
        <v>5030</v>
      </c>
      <c r="P1805" s="132" t="s">
        <v>4923</v>
      </c>
      <c r="Q1805" s="132" t="s">
        <v>1108</v>
      </c>
    </row>
    <row r="1806" spans="1:17" x14ac:dyDescent="0.2">
      <c r="A1806" t="s">
        <v>81</v>
      </c>
      <c r="B1806" s="141">
        <f t="shared" si="29"/>
        <v>58.2</v>
      </c>
      <c r="C1806" s="280">
        <v>45900</v>
      </c>
      <c r="D1806" s="279">
        <v>45902</v>
      </c>
      <c r="E1806" s="279">
        <v>45906</v>
      </c>
      <c r="F1806" s="132"/>
      <c r="G1806" s="132" t="s">
        <v>1108</v>
      </c>
      <c r="H1806" s="132" t="s">
        <v>373</v>
      </c>
      <c r="I1806" s="132" t="s">
        <v>1100</v>
      </c>
      <c r="J1806" s="132" t="s">
        <v>4623</v>
      </c>
      <c r="K1806" s="132" t="s">
        <v>4624</v>
      </c>
      <c r="L1806" s="132" t="s">
        <v>4625</v>
      </c>
      <c r="M1806" s="132" t="s">
        <v>5031</v>
      </c>
      <c r="N1806" s="132" t="s">
        <v>1112</v>
      </c>
      <c r="O1806" s="132" t="s">
        <v>5032</v>
      </c>
      <c r="P1806" s="132" t="s">
        <v>4923</v>
      </c>
      <c r="Q1806" s="132" t="s">
        <v>1108</v>
      </c>
    </row>
    <row r="1807" spans="1:17" x14ac:dyDescent="0.2">
      <c r="A1807" t="s">
        <v>81</v>
      </c>
      <c r="B1807" s="141">
        <f t="shared" si="29"/>
        <v>58.56</v>
      </c>
      <c r="C1807" s="280">
        <v>45900</v>
      </c>
      <c r="D1807" s="279">
        <v>45902</v>
      </c>
      <c r="E1807" s="279">
        <v>45906</v>
      </c>
      <c r="F1807" s="132"/>
      <c r="G1807" s="132" t="s">
        <v>4683</v>
      </c>
      <c r="H1807" s="132" t="s">
        <v>373</v>
      </c>
      <c r="I1807" s="132" t="s">
        <v>1100</v>
      </c>
      <c r="J1807" s="132" t="s">
        <v>4623</v>
      </c>
      <c r="K1807" s="132" t="s">
        <v>4672</v>
      </c>
      <c r="L1807" s="132" t="s">
        <v>4673</v>
      </c>
      <c r="M1807" s="132" t="s">
        <v>5033</v>
      </c>
      <c r="N1807" s="132" t="s">
        <v>1105</v>
      </c>
      <c r="O1807" s="132" t="s">
        <v>5034</v>
      </c>
      <c r="P1807" s="132" t="s">
        <v>4923</v>
      </c>
      <c r="Q1807" s="132" t="s">
        <v>1108</v>
      </c>
    </row>
    <row r="1808" spans="1:17" x14ac:dyDescent="0.2">
      <c r="A1808" t="s">
        <v>138</v>
      </c>
      <c r="B1808" s="141">
        <f t="shared" si="29"/>
        <v>3.13</v>
      </c>
      <c r="C1808" s="280">
        <v>45900</v>
      </c>
      <c r="D1808" s="279">
        <v>45902</v>
      </c>
      <c r="E1808" s="279">
        <v>45906</v>
      </c>
      <c r="F1808" s="132"/>
      <c r="G1808" s="132" t="s">
        <v>1108</v>
      </c>
      <c r="H1808" s="132" t="s">
        <v>373</v>
      </c>
      <c r="I1808" s="132" t="s">
        <v>1100</v>
      </c>
      <c r="J1808" s="132" t="s">
        <v>1730</v>
      </c>
      <c r="K1808" s="132" t="s">
        <v>1742</v>
      </c>
      <c r="L1808" s="132" t="s">
        <v>1743</v>
      </c>
      <c r="M1808" s="132" t="s">
        <v>5035</v>
      </c>
      <c r="N1808" s="132" t="s">
        <v>1117</v>
      </c>
      <c r="O1808" s="132" t="s">
        <v>5036</v>
      </c>
      <c r="P1808" s="132" t="s">
        <v>4923</v>
      </c>
      <c r="Q1808" s="132" t="s">
        <v>1108</v>
      </c>
    </row>
    <row r="1809" spans="1:17" x14ac:dyDescent="0.2">
      <c r="A1809" t="s">
        <v>139</v>
      </c>
      <c r="B1809" s="141">
        <f t="shared" si="29"/>
        <v>4.6000000000000005</v>
      </c>
      <c r="C1809" s="280">
        <v>45900</v>
      </c>
      <c r="D1809" s="279">
        <v>45902</v>
      </c>
      <c r="E1809" s="279">
        <v>45906</v>
      </c>
      <c r="F1809" s="132"/>
      <c r="G1809" s="132" t="s">
        <v>1108</v>
      </c>
      <c r="H1809" s="132" t="s">
        <v>373</v>
      </c>
      <c r="I1809" s="132" t="s">
        <v>1100</v>
      </c>
      <c r="J1809" s="132" t="s">
        <v>2671</v>
      </c>
      <c r="K1809" s="132" t="s">
        <v>2672</v>
      </c>
      <c r="L1809" s="132" t="s">
        <v>2673</v>
      </c>
      <c r="M1809" s="132" t="s">
        <v>5037</v>
      </c>
      <c r="N1809" s="132" t="s">
        <v>1117</v>
      </c>
      <c r="O1809" s="132" t="s">
        <v>5038</v>
      </c>
      <c r="P1809" s="132" t="s">
        <v>4923</v>
      </c>
      <c r="Q1809" s="132" t="s">
        <v>1108</v>
      </c>
    </row>
    <row r="1810" spans="1:17" x14ac:dyDescent="0.2">
      <c r="A1810" t="s">
        <v>138</v>
      </c>
      <c r="B1810" s="141">
        <f t="shared" si="29"/>
        <v>3.11</v>
      </c>
      <c r="C1810" s="280">
        <v>45900</v>
      </c>
      <c r="D1810" s="279">
        <v>45902</v>
      </c>
      <c r="E1810" s="279">
        <v>45906</v>
      </c>
      <c r="F1810" s="132"/>
      <c r="G1810" s="132" t="s">
        <v>1108</v>
      </c>
      <c r="H1810" s="132" t="s">
        <v>373</v>
      </c>
      <c r="I1810" s="132" t="s">
        <v>1100</v>
      </c>
      <c r="J1810" s="132" t="s">
        <v>1730</v>
      </c>
      <c r="K1810" s="132" t="s">
        <v>1731</v>
      </c>
      <c r="L1810" s="132" t="s">
        <v>1732</v>
      </c>
      <c r="M1810" s="132" t="s">
        <v>5039</v>
      </c>
      <c r="N1810" s="132" t="s">
        <v>1112</v>
      </c>
      <c r="O1810" s="132" t="s">
        <v>5040</v>
      </c>
      <c r="P1810" s="132" t="s">
        <v>4923</v>
      </c>
      <c r="Q1810" s="132" t="s">
        <v>1108</v>
      </c>
    </row>
    <row r="1811" spans="1:17" x14ac:dyDescent="0.2">
      <c r="A1811" t="s">
        <v>81</v>
      </c>
      <c r="B1811" s="141">
        <f t="shared" si="29"/>
        <v>58.56</v>
      </c>
      <c r="C1811" s="280">
        <v>45900</v>
      </c>
      <c r="D1811" s="279">
        <v>45902</v>
      </c>
      <c r="E1811" s="279">
        <v>45906</v>
      </c>
      <c r="F1811" s="132"/>
      <c r="G1811" s="132" t="s">
        <v>4718</v>
      </c>
      <c r="H1811" s="132" t="s">
        <v>373</v>
      </c>
      <c r="I1811" s="132" t="s">
        <v>1100</v>
      </c>
      <c r="J1811" s="132" t="s">
        <v>4623</v>
      </c>
      <c r="K1811" s="132" t="s">
        <v>4672</v>
      </c>
      <c r="L1811" s="132" t="s">
        <v>4673</v>
      </c>
      <c r="M1811" s="132" t="s">
        <v>5041</v>
      </c>
      <c r="N1811" s="132" t="s">
        <v>1105</v>
      </c>
      <c r="O1811" s="132" t="s">
        <v>5042</v>
      </c>
      <c r="P1811" s="132" t="s">
        <v>4923</v>
      </c>
      <c r="Q1811" s="132" t="s">
        <v>1108</v>
      </c>
    </row>
    <row r="1812" spans="1:17" x14ac:dyDescent="0.2">
      <c r="A1812" t="s">
        <v>81</v>
      </c>
      <c r="B1812" s="141">
        <f t="shared" si="29"/>
        <v>58.56</v>
      </c>
      <c r="C1812" s="280">
        <v>45900</v>
      </c>
      <c r="D1812" s="279">
        <v>45902</v>
      </c>
      <c r="E1812" s="279">
        <v>45906</v>
      </c>
      <c r="F1812" s="132"/>
      <c r="G1812" s="132" t="s">
        <v>4881</v>
      </c>
      <c r="H1812" s="132" t="s">
        <v>373</v>
      </c>
      <c r="I1812" s="132" t="s">
        <v>1100</v>
      </c>
      <c r="J1812" s="132" t="s">
        <v>4623</v>
      </c>
      <c r="K1812" s="132" t="s">
        <v>4672</v>
      </c>
      <c r="L1812" s="132" t="s">
        <v>4673</v>
      </c>
      <c r="M1812" s="132" t="s">
        <v>5043</v>
      </c>
      <c r="N1812" s="132" t="s">
        <v>1105</v>
      </c>
      <c r="O1812" s="132" t="s">
        <v>5044</v>
      </c>
      <c r="P1812" s="132" t="s">
        <v>4923</v>
      </c>
      <c r="Q1812" s="132" t="s">
        <v>1108</v>
      </c>
    </row>
    <row r="1813" spans="1:17" x14ac:dyDescent="0.2">
      <c r="A1813" t="s">
        <v>81</v>
      </c>
      <c r="B1813" s="141">
        <f t="shared" si="29"/>
        <v>58.2</v>
      </c>
      <c r="C1813" s="280">
        <v>45900</v>
      </c>
      <c r="D1813" s="279">
        <v>45902</v>
      </c>
      <c r="E1813" s="279">
        <v>45906</v>
      </c>
      <c r="F1813" s="132"/>
      <c r="G1813" s="132" t="s">
        <v>1108</v>
      </c>
      <c r="H1813" s="132" t="s">
        <v>373</v>
      </c>
      <c r="I1813" s="132" t="s">
        <v>1100</v>
      </c>
      <c r="J1813" s="132" t="s">
        <v>4623</v>
      </c>
      <c r="K1813" s="132" t="s">
        <v>4624</v>
      </c>
      <c r="L1813" s="132" t="s">
        <v>4625</v>
      </c>
      <c r="M1813" s="132" t="s">
        <v>5045</v>
      </c>
      <c r="N1813" s="132" t="s">
        <v>1112</v>
      </c>
      <c r="O1813" s="132" t="s">
        <v>5046</v>
      </c>
      <c r="P1813" s="132" t="s">
        <v>4923</v>
      </c>
      <c r="Q1813" s="132" t="s">
        <v>1108</v>
      </c>
    </row>
    <row r="1814" spans="1:17" x14ac:dyDescent="0.2">
      <c r="A1814" t="s">
        <v>81</v>
      </c>
      <c r="B1814" s="141">
        <f t="shared" si="29"/>
        <v>58.2</v>
      </c>
      <c r="C1814" s="280">
        <v>45900</v>
      </c>
      <c r="D1814" s="279">
        <v>45902</v>
      </c>
      <c r="E1814" s="279">
        <v>45906</v>
      </c>
      <c r="F1814" s="132"/>
      <c r="G1814" s="132" t="s">
        <v>1108</v>
      </c>
      <c r="H1814" s="132" t="s">
        <v>373</v>
      </c>
      <c r="I1814" s="132" t="s">
        <v>1100</v>
      </c>
      <c r="J1814" s="132" t="s">
        <v>4623</v>
      </c>
      <c r="K1814" s="132" t="s">
        <v>4624</v>
      </c>
      <c r="L1814" s="132" t="s">
        <v>4625</v>
      </c>
      <c r="M1814" s="132" t="s">
        <v>5047</v>
      </c>
      <c r="N1814" s="132" t="s">
        <v>1112</v>
      </c>
      <c r="O1814" s="132" t="s">
        <v>5048</v>
      </c>
      <c r="P1814" s="132" t="s">
        <v>4923</v>
      </c>
      <c r="Q1814" s="132" t="s">
        <v>1108</v>
      </c>
    </row>
    <row r="1815" spans="1:17" x14ac:dyDescent="0.2">
      <c r="A1815" t="s">
        <v>139</v>
      </c>
      <c r="B1815" s="141">
        <f t="shared" si="29"/>
        <v>4.6000000000000005</v>
      </c>
      <c r="C1815" s="280">
        <v>45900</v>
      </c>
      <c r="D1815" s="279">
        <v>45902</v>
      </c>
      <c r="E1815" s="279">
        <v>45906</v>
      </c>
      <c r="F1815" s="132"/>
      <c r="G1815" s="132" t="s">
        <v>5049</v>
      </c>
      <c r="H1815" s="132" t="s">
        <v>373</v>
      </c>
      <c r="I1815" s="132" t="s">
        <v>1100</v>
      </c>
      <c r="J1815" s="132" t="s">
        <v>2671</v>
      </c>
      <c r="K1815" s="132" t="s">
        <v>2672</v>
      </c>
      <c r="L1815" s="132" t="s">
        <v>2673</v>
      </c>
      <c r="M1815" s="132" t="s">
        <v>5050</v>
      </c>
      <c r="N1815" s="132" t="s">
        <v>1105</v>
      </c>
      <c r="O1815" s="132" t="s">
        <v>5051</v>
      </c>
      <c r="P1815" s="132" t="s">
        <v>4923</v>
      </c>
      <c r="Q1815" s="132" t="s">
        <v>1108</v>
      </c>
    </row>
    <row r="1816" spans="1:17" x14ac:dyDescent="0.2">
      <c r="A1816" t="s">
        <v>138</v>
      </c>
      <c r="B1816" s="141">
        <f t="shared" si="29"/>
        <v>3.11</v>
      </c>
      <c r="C1816" s="280">
        <v>45900</v>
      </c>
      <c r="D1816" s="279">
        <v>45902</v>
      </c>
      <c r="E1816" s="279">
        <v>45906</v>
      </c>
      <c r="F1816" s="132"/>
      <c r="G1816" s="132" t="s">
        <v>1108</v>
      </c>
      <c r="H1816" s="132" t="s">
        <v>373</v>
      </c>
      <c r="I1816" s="132" t="s">
        <v>1100</v>
      </c>
      <c r="J1816" s="132" t="s">
        <v>1730</v>
      </c>
      <c r="K1816" s="132" t="s">
        <v>1731</v>
      </c>
      <c r="L1816" s="132" t="s">
        <v>1732</v>
      </c>
      <c r="M1816" s="132" t="s">
        <v>5052</v>
      </c>
      <c r="N1816" s="132" t="s">
        <v>1112</v>
      </c>
      <c r="O1816" s="132" t="s">
        <v>5053</v>
      </c>
      <c r="P1816" s="132" t="s">
        <v>4923</v>
      </c>
      <c r="Q1816" s="132" t="s">
        <v>1108</v>
      </c>
    </row>
    <row r="1817" spans="1:17" x14ac:dyDescent="0.2">
      <c r="A1817" t="s">
        <v>81</v>
      </c>
      <c r="B1817" s="141">
        <f t="shared" si="29"/>
        <v>58.2</v>
      </c>
      <c r="C1817" s="280">
        <v>45900</v>
      </c>
      <c r="D1817" s="279">
        <v>45902</v>
      </c>
      <c r="E1817" s="279">
        <v>45906</v>
      </c>
      <c r="F1817" s="132"/>
      <c r="G1817" s="132" t="s">
        <v>1108</v>
      </c>
      <c r="H1817" s="132" t="s">
        <v>373</v>
      </c>
      <c r="I1817" s="132" t="s">
        <v>1100</v>
      </c>
      <c r="J1817" s="132" t="s">
        <v>4623</v>
      </c>
      <c r="K1817" s="132" t="s">
        <v>4624</v>
      </c>
      <c r="L1817" s="132" t="s">
        <v>4625</v>
      </c>
      <c r="M1817" s="132" t="s">
        <v>5054</v>
      </c>
      <c r="N1817" s="132" t="s">
        <v>1112</v>
      </c>
      <c r="O1817" s="132" t="s">
        <v>5055</v>
      </c>
      <c r="P1817" s="132" t="s">
        <v>4923</v>
      </c>
      <c r="Q1817" s="132" t="s">
        <v>1108</v>
      </c>
    </row>
    <row r="1818" spans="1:17" x14ac:dyDescent="0.2">
      <c r="A1818" t="s">
        <v>81</v>
      </c>
      <c r="B1818" s="141">
        <f t="shared" si="29"/>
        <v>57.84</v>
      </c>
      <c r="C1818" s="280">
        <v>45900</v>
      </c>
      <c r="D1818" s="279">
        <v>45902</v>
      </c>
      <c r="E1818" s="279">
        <v>45906</v>
      </c>
      <c r="F1818" s="132"/>
      <c r="G1818" s="132" t="s">
        <v>5056</v>
      </c>
      <c r="H1818" s="132" t="s">
        <v>373</v>
      </c>
      <c r="I1818" s="132" t="s">
        <v>1100</v>
      </c>
      <c r="J1818" s="132" t="s">
        <v>4623</v>
      </c>
      <c r="K1818" s="132" t="s">
        <v>1414</v>
      </c>
      <c r="L1818" s="132" t="s">
        <v>4980</v>
      </c>
      <c r="M1818" s="132" t="s">
        <v>5057</v>
      </c>
      <c r="N1818" s="132" t="s">
        <v>1105</v>
      </c>
      <c r="O1818" s="132" t="s">
        <v>5058</v>
      </c>
      <c r="P1818" s="132" t="s">
        <v>4923</v>
      </c>
      <c r="Q1818" s="132" t="s">
        <v>1108</v>
      </c>
    </row>
    <row r="1819" spans="1:17" x14ac:dyDescent="0.2">
      <c r="A1819" t="s">
        <v>81</v>
      </c>
      <c r="B1819" s="141">
        <f t="shared" si="29"/>
        <v>58.2</v>
      </c>
      <c r="C1819" s="280">
        <v>45900</v>
      </c>
      <c r="D1819" s="279">
        <v>45902</v>
      </c>
      <c r="E1819" s="279">
        <v>45906</v>
      </c>
      <c r="F1819" s="132"/>
      <c r="G1819" s="132" t="s">
        <v>1108</v>
      </c>
      <c r="H1819" s="132" t="s">
        <v>373</v>
      </c>
      <c r="I1819" s="132" t="s">
        <v>1100</v>
      </c>
      <c r="J1819" s="132" t="s">
        <v>4623</v>
      </c>
      <c r="K1819" s="132" t="s">
        <v>4624</v>
      </c>
      <c r="L1819" s="132" t="s">
        <v>4625</v>
      </c>
      <c r="M1819" s="132" t="s">
        <v>5059</v>
      </c>
      <c r="N1819" s="132" t="s">
        <v>1112</v>
      </c>
      <c r="O1819" s="132" t="s">
        <v>5060</v>
      </c>
      <c r="P1819" s="132" t="s">
        <v>4923</v>
      </c>
      <c r="Q1819" s="132" t="s">
        <v>1108</v>
      </c>
    </row>
    <row r="1820" spans="1:17" x14ac:dyDescent="0.2">
      <c r="A1820" t="s">
        <v>139</v>
      </c>
      <c r="B1820" s="141">
        <f t="shared" si="29"/>
        <v>4.6000000000000005</v>
      </c>
      <c r="C1820" s="280">
        <v>45900</v>
      </c>
      <c r="D1820" s="279">
        <v>45902</v>
      </c>
      <c r="E1820" s="279">
        <v>45906</v>
      </c>
      <c r="F1820" s="132"/>
      <c r="G1820" s="132" t="s">
        <v>5061</v>
      </c>
      <c r="H1820" s="132" t="s">
        <v>373</v>
      </c>
      <c r="I1820" s="132" t="s">
        <v>1100</v>
      </c>
      <c r="J1820" s="132" t="s">
        <v>2671</v>
      </c>
      <c r="K1820" s="132" t="s">
        <v>2672</v>
      </c>
      <c r="L1820" s="132" t="s">
        <v>2673</v>
      </c>
      <c r="M1820" s="132" t="s">
        <v>5062</v>
      </c>
      <c r="N1820" s="132" t="s">
        <v>1105</v>
      </c>
      <c r="O1820" s="132" t="s">
        <v>5063</v>
      </c>
      <c r="P1820" s="132" t="s">
        <v>4923</v>
      </c>
      <c r="Q1820" s="132" t="s">
        <v>1108</v>
      </c>
    </row>
    <row r="1821" spans="1:17" x14ac:dyDescent="0.2">
      <c r="A1821" t="s">
        <v>138</v>
      </c>
      <c r="B1821" s="141">
        <f t="shared" si="29"/>
        <v>3.13</v>
      </c>
      <c r="C1821" s="280">
        <v>45900</v>
      </c>
      <c r="D1821" s="279">
        <v>45902</v>
      </c>
      <c r="E1821" s="279">
        <v>45906</v>
      </c>
      <c r="F1821" s="132"/>
      <c r="G1821" s="132" t="s">
        <v>1303</v>
      </c>
      <c r="H1821" s="132" t="s">
        <v>373</v>
      </c>
      <c r="I1821" s="132" t="s">
        <v>1100</v>
      </c>
      <c r="J1821" s="132" t="s">
        <v>1730</v>
      </c>
      <c r="K1821" s="132" t="s">
        <v>1742</v>
      </c>
      <c r="L1821" s="132" t="s">
        <v>1743</v>
      </c>
      <c r="M1821" s="132" t="s">
        <v>5064</v>
      </c>
      <c r="N1821" s="132" t="s">
        <v>1105</v>
      </c>
      <c r="O1821" s="132" t="s">
        <v>5065</v>
      </c>
      <c r="P1821" s="132" t="s">
        <v>4923</v>
      </c>
      <c r="Q1821" s="132" t="s">
        <v>1108</v>
      </c>
    </row>
    <row r="1822" spans="1:17" x14ac:dyDescent="0.2">
      <c r="A1822" t="s">
        <v>138</v>
      </c>
      <c r="B1822" s="141">
        <f t="shared" si="29"/>
        <v>3.11</v>
      </c>
      <c r="C1822" s="280">
        <v>45900</v>
      </c>
      <c r="D1822" s="279">
        <v>45902</v>
      </c>
      <c r="E1822" s="279">
        <v>45906</v>
      </c>
      <c r="F1822" s="132"/>
      <c r="G1822" s="132" t="s">
        <v>1108</v>
      </c>
      <c r="H1822" s="132" t="s">
        <v>373</v>
      </c>
      <c r="I1822" s="132" t="s">
        <v>1100</v>
      </c>
      <c r="J1822" s="132" t="s">
        <v>1730</v>
      </c>
      <c r="K1822" s="132" t="s">
        <v>1731</v>
      </c>
      <c r="L1822" s="132" t="s">
        <v>1732</v>
      </c>
      <c r="M1822" s="132" t="s">
        <v>5066</v>
      </c>
      <c r="N1822" s="132" t="s">
        <v>1112</v>
      </c>
      <c r="O1822" s="132" t="s">
        <v>5067</v>
      </c>
      <c r="P1822" s="132" t="s">
        <v>4923</v>
      </c>
      <c r="Q1822" s="132" t="s">
        <v>1108</v>
      </c>
    </row>
    <row r="1823" spans="1:17" x14ac:dyDescent="0.2">
      <c r="A1823" t="s">
        <v>81</v>
      </c>
      <c r="B1823" s="141">
        <f t="shared" si="29"/>
        <v>58.2</v>
      </c>
      <c r="C1823" s="280">
        <v>45901</v>
      </c>
      <c r="D1823" s="279">
        <v>45903</v>
      </c>
      <c r="E1823" s="279">
        <v>45906</v>
      </c>
      <c r="F1823" s="132"/>
      <c r="G1823" s="132" t="s">
        <v>1108</v>
      </c>
      <c r="H1823" s="132" t="s">
        <v>373</v>
      </c>
      <c r="I1823" s="132" t="s">
        <v>1100</v>
      </c>
      <c r="J1823" s="132" t="s">
        <v>4623</v>
      </c>
      <c r="K1823" s="132" t="s">
        <v>4624</v>
      </c>
      <c r="L1823" s="132" t="s">
        <v>4625</v>
      </c>
      <c r="M1823" s="132" t="s">
        <v>5068</v>
      </c>
      <c r="N1823" s="132" t="s">
        <v>1112</v>
      </c>
      <c r="O1823" s="132" t="s">
        <v>5069</v>
      </c>
      <c r="P1823" s="132" t="s">
        <v>4923</v>
      </c>
      <c r="Q1823" s="132" t="s">
        <v>1108</v>
      </c>
    </row>
    <row r="1824" spans="1:17" x14ac:dyDescent="0.2">
      <c r="A1824" t="s">
        <v>81</v>
      </c>
      <c r="B1824" s="141">
        <f t="shared" si="29"/>
        <v>58.56</v>
      </c>
      <c r="C1824" s="280">
        <v>45901</v>
      </c>
      <c r="D1824" s="279">
        <v>45903</v>
      </c>
      <c r="E1824" s="279">
        <v>45906</v>
      </c>
      <c r="F1824" s="132"/>
      <c r="G1824" s="132" t="s">
        <v>4680</v>
      </c>
      <c r="H1824" s="132" t="s">
        <v>373</v>
      </c>
      <c r="I1824" s="132" t="s">
        <v>1100</v>
      </c>
      <c r="J1824" s="132" t="s">
        <v>4623</v>
      </c>
      <c r="K1824" s="132" t="s">
        <v>4672</v>
      </c>
      <c r="L1824" s="132" t="s">
        <v>4673</v>
      </c>
      <c r="M1824" s="132" t="s">
        <v>5070</v>
      </c>
      <c r="N1824" s="132" t="s">
        <v>1105</v>
      </c>
      <c r="O1824" s="132" t="s">
        <v>5071</v>
      </c>
      <c r="P1824" s="132" t="s">
        <v>4923</v>
      </c>
      <c r="Q1824" s="132" t="s">
        <v>1108</v>
      </c>
    </row>
    <row r="1825" spans="1:17" x14ac:dyDescent="0.2">
      <c r="A1825" t="s">
        <v>81</v>
      </c>
      <c r="B1825" s="141">
        <f t="shared" si="29"/>
        <v>58.2</v>
      </c>
      <c r="C1825" s="280">
        <v>45901</v>
      </c>
      <c r="D1825" s="279">
        <v>45903</v>
      </c>
      <c r="E1825" s="279">
        <v>45906</v>
      </c>
      <c r="F1825" s="132"/>
      <c r="G1825" s="132" t="s">
        <v>1108</v>
      </c>
      <c r="H1825" s="132" t="s">
        <v>373</v>
      </c>
      <c r="I1825" s="132" t="s">
        <v>1100</v>
      </c>
      <c r="J1825" s="132" t="s">
        <v>4623</v>
      </c>
      <c r="K1825" s="132" t="s">
        <v>4624</v>
      </c>
      <c r="L1825" s="132" t="s">
        <v>4625</v>
      </c>
      <c r="M1825" s="132" t="s">
        <v>5072</v>
      </c>
      <c r="N1825" s="132" t="s">
        <v>1112</v>
      </c>
      <c r="O1825" s="132" t="s">
        <v>5073</v>
      </c>
      <c r="P1825" s="132" t="s">
        <v>4923</v>
      </c>
      <c r="Q1825" s="132" t="s">
        <v>1108</v>
      </c>
    </row>
    <row r="1826" spans="1:17" x14ac:dyDescent="0.2">
      <c r="A1826" t="s">
        <v>81</v>
      </c>
      <c r="B1826" s="141">
        <f t="shared" si="29"/>
        <v>58.2</v>
      </c>
      <c r="C1826" s="280">
        <v>45901</v>
      </c>
      <c r="D1826" s="279">
        <v>45903</v>
      </c>
      <c r="E1826" s="279">
        <v>45906</v>
      </c>
      <c r="F1826" s="132"/>
      <c r="G1826" s="132" t="s">
        <v>1108</v>
      </c>
      <c r="H1826" s="132" t="s">
        <v>373</v>
      </c>
      <c r="I1826" s="132" t="s">
        <v>1100</v>
      </c>
      <c r="J1826" s="132" t="s">
        <v>4623</v>
      </c>
      <c r="K1826" s="132" t="s">
        <v>4624</v>
      </c>
      <c r="L1826" s="132" t="s">
        <v>4625</v>
      </c>
      <c r="M1826" s="132" t="s">
        <v>5074</v>
      </c>
      <c r="N1826" s="132" t="s">
        <v>1112</v>
      </c>
      <c r="O1826" s="132" t="s">
        <v>5075</v>
      </c>
      <c r="P1826" s="132" t="s">
        <v>4923</v>
      </c>
      <c r="Q1826" s="132" t="s">
        <v>1108</v>
      </c>
    </row>
    <row r="1827" spans="1:17" x14ac:dyDescent="0.2">
      <c r="A1827" t="s">
        <v>139</v>
      </c>
      <c r="B1827" s="141">
        <f t="shared" si="29"/>
        <v>4.6000000000000005</v>
      </c>
      <c r="C1827" s="280">
        <v>45901</v>
      </c>
      <c r="D1827" s="279">
        <v>45903</v>
      </c>
      <c r="E1827" s="279">
        <v>45906</v>
      </c>
      <c r="F1827" s="132"/>
      <c r="G1827" s="132" t="s">
        <v>1108</v>
      </c>
      <c r="H1827" s="132" t="s">
        <v>373</v>
      </c>
      <c r="I1827" s="132" t="s">
        <v>1100</v>
      </c>
      <c r="J1827" s="132" t="s">
        <v>2671</v>
      </c>
      <c r="K1827" s="132" t="s">
        <v>2672</v>
      </c>
      <c r="L1827" s="132" t="s">
        <v>2673</v>
      </c>
      <c r="M1827" s="132" t="s">
        <v>5076</v>
      </c>
      <c r="N1827" s="132" t="s">
        <v>1117</v>
      </c>
      <c r="O1827" s="132" t="s">
        <v>5077</v>
      </c>
      <c r="P1827" s="132" t="s">
        <v>4923</v>
      </c>
      <c r="Q1827" s="132" t="s">
        <v>1108</v>
      </c>
    </row>
    <row r="1828" spans="1:17" x14ac:dyDescent="0.2">
      <c r="A1828" t="s">
        <v>138</v>
      </c>
      <c r="B1828" s="141">
        <f t="shared" si="29"/>
        <v>3.11</v>
      </c>
      <c r="C1828" s="280">
        <v>45901</v>
      </c>
      <c r="D1828" s="279">
        <v>45903</v>
      </c>
      <c r="E1828" s="279">
        <v>45906</v>
      </c>
      <c r="F1828" s="132"/>
      <c r="G1828" s="132" t="s">
        <v>1108</v>
      </c>
      <c r="H1828" s="132" t="s">
        <v>373</v>
      </c>
      <c r="I1828" s="132" t="s">
        <v>1100</v>
      </c>
      <c r="J1828" s="132" t="s">
        <v>1730</v>
      </c>
      <c r="K1828" s="132" t="s">
        <v>1731</v>
      </c>
      <c r="L1828" s="132" t="s">
        <v>1732</v>
      </c>
      <c r="M1828" s="132" t="s">
        <v>5078</v>
      </c>
      <c r="N1828" s="132" t="s">
        <v>1112</v>
      </c>
      <c r="O1828" s="281" t="s">
        <v>5079</v>
      </c>
      <c r="P1828" s="132" t="s">
        <v>4923</v>
      </c>
      <c r="Q1828" s="132" t="s">
        <v>1108</v>
      </c>
    </row>
    <row r="1829" spans="1:17" x14ac:dyDescent="0.2">
      <c r="A1829" t="s">
        <v>81</v>
      </c>
      <c r="B1829" s="141">
        <f t="shared" si="29"/>
        <v>58.56</v>
      </c>
      <c r="C1829" s="280">
        <v>45901</v>
      </c>
      <c r="D1829" s="279">
        <v>45903</v>
      </c>
      <c r="E1829" s="279">
        <v>45906</v>
      </c>
      <c r="F1829" s="132"/>
      <c r="G1829" s="132" t="s">
        <v>5080</v>
      </c>
      <c r="H1829" s="132" t="s">
        <v>373</v>
      </c>
      <c r="I1829" s="132" t="s">
        <v>1100</v>
      </c>
      <c r="J1829" s="132" t="s">
        <v>4623</v>
      </c>
      <c r="K1829" s="132" t="s">
        <v>4672</v>
      </c>
      <c r="L1829" s="132" t="s">
        <v>4673</v>
      </c>
      <c r="M1829" s="132" t="s">
        <v>5081</v>
      </c>
      <c r="N1829" s="132" t="s">
        <v>1105</v>
      </c>
      <c r="O1829" s="132" t="s">
        <v>5082</v>
      </c>
      <c r="P1829" s="132" t="s">
        <v>4923</v>
      </c>
      <c r="Q1829" s="132" t="s">
        <v>1108</v>
      </c>
    </row>
    <row r="1830" spans="1:17" x14ac:dyDescent="0.2">
      <c r="A1830" t="s">
        <v>81</v>
      </c>
      <c r="B1830" s="141">
        <f t="shared" si="29"/>
        <v>58.2</v>
      </c>
      <c r="C1830" s="280">
        <v>45901</v>
      </c>
      <c r="D1830" s="279">
        <v>45903</v>
      </c>
      <c r="E1830" s="279">
        <v>45906</v>
      </c>
      <c r="F1830" s="132"/>
      <c r="G1830" s="132" t="s">
        <v>1108</v>
      </c>
      <c r="H1830" s="132" t="s">
        <v>373</v>
      </c>
      <c r="I1830" s="132" t="s">
        <v>1100</v>
      </c>
      <c r="J1830" s="132" t="s">
        <v>4623</v>
      </c>
      <c r="K1830" s="132" t="s">
        <v>4624</v>
      </c>
      <c r="L1830" s="132" t="s">
        <v>4625</v>
      </c>
      <c r="M1830" s="132" t="s">
        <v>5083</v>
      </c>
      <c r="N1830" s="132" t="s">
        <v>1112</v>
      </c>
      <c r="O1830" s="132" t="s">
        <v>5084</v>
      </c>
      <c r="P1830" s="132" t="s">
        <v>4923</v>
      </c>
      <c r="Q1830" s="132" t="s">
        <v>1108</v>
      </c>
    </row>
    <row r="1831" spans="1:17" x14ac:dyDescent="0.2">
      <c r="A1831" t="s">
        <v>139</v>
      </c>
      <c r="B1831" s="141">
        <f t="shared" si="29"/>
        <v>4.6000000000000005</v>
      </c>
      <c r="C1831" s="280">
        <v>45901</v>
      </c>
      <c r="D1831" s="279">
        <v>45903</v>
      </c>
      <c r="E1831" s="279">
        <v>45906</v>
      </c>
      <c r="F1831" s="132"/>
      <c r="G1831" s="132" t="s">
        <v>1108</v>
      </c>
      <c r="H1831" s="132" t="s">
        <v>373</v>
      </c>
      <c r="I1831" s="132" t="s">
        <v>1100</v>
      </c>
      <c r="J1831" s="132" t="s">
        <v>2671</v>
      </c>
      <c r="K1831" s="132" t="s">
        <v>2672</v>
      </c>
      <c r="L1831" s="132" t="s">
        <v>2673</v>
      </c>
      <c r="M1831" s="132" t="s">
        <v>5085</v>
      </c>
      <c r="N1831" s="132" t="s">
        <v>1117</v>
      </c>
      <c r="O1831" s="132" t="s">
        <v>5086</v>
      </c>
      <c r="P1831" s="132" t="s">
        <v>4923</v>
      </c>
      <c r="Q1831" s="132" t="s">
        <v>1108</v>
      </c>
    </row>
    <row r="1832" spans="1:17" x14ac:dyDescent="0.2">
      <c r="A1832" t="s">
        <v>81</v>
      </c>
      <c r="B1832" s="141">
        <f t="shared" si="29"/>
        <v>57.84</v>
      </c>
      <c r="C1832" s="280">
        <v>45901</v>
      </c>
      <c r="D1832" s="279">
        <v>45903</v>
      </c>
      <c r="E1832" s="279">
        <v>45906</v>
      </c>
      <c r="F1832" s="132"/>
      <c r="G1832" s="132" t="s">
        <v>4845</v>
      </c>
      <c r="H1832" s="132" t="s">
        <v>373</v>
      </c>
      <c r="I1832" s="132" t="s">
        <v>1100</v>
      </c>
      <c r="J1832" s="132" t="s">
        <v>4623</v>
      </c>
      <c r="K1832" s="132" t="s">
        <v>1414</v>
      </c>
      <c r="L1832" s="132" t="s">
        <v>4980</v>
      </c>
      <c r="M1832" s="132" t="s">
        <v>5087</v>
      </c>
      <c r="N1832" s="132" t="s">
        <v>1105</v>
      </c>
      <c r="O1832" s="132" t="s">
        <v>5088</v>
      </c>
      <c r="P1832" s="132" t="s">
        <v>4923</v>
      </c>
      <c r="Q1832" s="132" t="s">
        <v>1108</v>
      </c>
    </row>
    <row r="1833" spans="1:17" x14ac:dyDescent="0.2">
      <c r="A1833" t="s">
        <v>138</v>
      </c>
      <c r="B1833" s="141">
        <f t="shared" si="29"/>
        <v>3.13</v>
      </c>
      <c r="C1833" s="280">
        <v>45901</v>
      </c>
      <c r="D1833" s="279">
        <v>45903</v>
      </c>
      <c r="E1833" s="279">
        <v>45906</v>
      </c>
      <c r="F1833" s="132"/>
      <c r="G1833" s="132" t="s">
        <v>5089</v>
      </c>
      <c r="H1833" s="132" t="s">
        <v>373</v>
      </c>
      <c r="I1833" s="132" t="s">
        <v>1100</v>
      </c>
      <c r="J1833" s="132" t="s">
        <v>1730</v>
      </c>
      <c r="K1833" s="132" t="s">
        <v>1742</v>
      </c>
      <c r="L1833" s="132" t="s">
        <v>1743</v>
      </c>
      <c r="M1833" s="132" t="s">
        <v>5090</v>
      </c>
      <c r="N1833" s="132" t="s">
        <v>1105</v>
      </c>
      <c r="O1833" s="132" t="s">
        <v>5091</v>
      </c>
      <c r="P1833" s="132" t="s">
        <v>4923</v>
      </c>
      <c r="Q1833" s="132" t="s">
        <v>1108</v>
      </c>
    </row>
    <row r="1834" spans="1:17" x14ac:dyDescent="0.2">
      <c r="A1834" t="s">
        <v>138</v>
      </c>
      <c r="B1834" s="141">
        <f t="shared" si="29"/>
        <v>3.13</v>
      </c>
      <c r="C1834" s="280">
        <v>45901</v>
      </c>
      <c r="D1834" s="279">
        <v>45903</v>
      </c>
      <c r="E1834" s="279">
        <v>45906</v>
      </c>
      <c r="F1834" s="132"/>
      <c r="G1834" s="132" t="s">
        <v>1108</v>
      </c>
      <c r="H1834" s="132" t="s">
        <v>373</v>
      </c>
      <c r="I1834" s="132" t="s">
        <v>1100</v>
      </c>
      <c r="J1834" s="132" t="s">
        <v>1730</v>
      </c>
      <c r="K1834" s="132" t="s">
        <v>1742</v>
      </c>
      <c r="L1834" s="132" t="s">
        <v>1743</v>
      </c>
      <c r="M1834" s="132" t="s">
        <v>5092</v>
      </c>
      <c r="N1834" s="132" t="s">
        <v>1117</v>
      </c>
      <c r="O1834" s="132" t="s">
        <v>5093</v>
      </c>
      <c r="P1834" s="132" t="s">
        <v>4923</v>
      </c>
      <c r="Q1834" s="132" t="s">
        <v>1108</v>
      </c>
    </row>
    <row r="1835" spans="1:17" x14ac:dyDescent="0.2">
      <c r="A1835" t="s">
        <v>138</v>
      </c>
      <c r="B1835" s="141">
        <f t="shared" si="29"/>
        <v>3.11</v>
      </c>
      <c r="C1835" s="280">
        <v>45901</v>
      </c>
      <c r="D1835" s="279">
        <v>45903</v>
      </c>
      <c r="E1835" s="279">
        <v>45906</v>
      </c>
      <c r="F1835" s="132"/>
      <c r="G1835" s="132" t="s">
        <v>1108</v>
      </c>
      <c r="H1835" s="132" t="s">
        <v>373</v>
      </c>
      <c r="I1835" s="132" t="s">
        <v>1100</v>
      </c>
      <c r="J1835" s="132" t="s">
        <v>1730</v>
      </c>
      <c r="K1835" s="132" t="s">
        <v>1731</v>
      </c>
      <c r="L1835" s="132" t="s">
        <v>1732</v>
      </c>
      <c r="M1835" s="132" t="s">
        <v>5094</v>
      </c>
      <c r="N1835" s="132" t="s">
        <v>1112</v>
      </c>
      <c r="O1835" s="132" t="s">
        <v>5095</v>
      </c>
      <c r="P1835" s="132" t="s">
        <v>4923</v>
      </c>
      <c r="Q1835" s="132" t="s">
        <v>1108</v>
      </c>
    </row>
    <row r="1836" spans="1:17" x14ac:dyDescent="0.2">
      <c r="A1836" t="s">
        <v>81</v>
      </c>
      <c r="B1836" s="141">
        <f t="shared" si="29"/>
        <v>58.56</v>
      </c>
      <c r="C1836" s="280">
        <v>45901</v>
      </c>
      <c r="D1836" s="279">
        <v>45903</v>
      </c>
      <c r="E1836" s="279">
        <v>45906</v>
      </c>
      <c r="F1836" s="132"/>
      <c r="G1836" s="132" t="s">
        <v>5089</v>
      </c>
      <c r="H1836" s="132" t="s">
        <v>373</v>
      </c>
      <c r="I1836" s="132" t="s">
        <v>1100</v>
      </c>
      <c r="J1836" s="132" t="s">
        <v>4623</v>
      </c>
      <c r="K1836" s="132" t="s">
        <v>4672</v>
      </c>
      <c r="L1836" s="132" t="s">
        <v>4673</v>
      </c>
      <c r="M1836" s="132" t="s">
        <v>5096</v>
      </c>
      <c r="N1836" s="132" t="s">
        <v>1105</v>
      </c>
      <c r="O1836" s="132" t="s">
        <v>5097</v>
      </c>
      <c r="P1836" s="132" t="s">
        <v>4923</v>
      </c>
      <c r="Q1836" s="132" t="s">
        <v>1108</v>
      </c>
    </row>
    <row r="1837" spans="1:17" x14ac:dyDescent="0.2">
      <c r="A1837" t="s">
        <v>138</v>
      </c>
      <c r="B1837" s="141">
        <f t="shared" si="29"/>
        <v>3.11</v>
      </c>
      <c r="C1837" s="280">
        <v>45901</v>
      </c>
      <c r="D1837" s="279">
        <v>45903</v>
      </c>
      <c r="E1837" s="279">
        <v>45906</v>
      </c>
      <c r="F1837" s="132"/>
      <c r="G1837" s="132" t="s">
        <v>1108</v>
      </c>
      <c r="H1837" s="132" t="s">
        <v>373</v>
      </c>
      <c r="I1837" s="132" t="s">
        <v>1100</v>
      </c>
      <c r="J1837" s="132" t="s">
        <v>1730</v>
      </c>
      <c r="K1837" s="132" t="s">
        <v>1731</v>
      </c>
      <c r="L1837" s="132" t="s">
        <v>1732</v>
      </c>
      <c r="M1837" s="132" t="s">
        <v>5098</v>
      </c>
      <c r="N1837" s="132" t="s">
        <v>1112</v>
      </c>
      <c r="O1837" s="132" t="s">
        <v>5099</v>
      </c>
      <c r="P1837" s="132" t="s">
        <v>4923</v>
      </c>
      <c r="Q1837" s="132" t="s">
        <v>1108</v>
      </c>
    </row>
    <row r="1838" spans="1:17" x14ac:dyDescent="0.2">
      <c r="A1838" t="s">
        <v>81</v>
      </c>
      <c r="B1838" s="141">
        <f t="shared" ref="B1838:B1901" si="30">_xlfn.NUMBERVALUE(L1838)*0.01</f>
        <v>58.56</v>
      </c>
      <c r="C1838" s="280">
        <v>45901</v>
      </c>
      <c r="D1838" s="279">
        <v>45903</v>
      </c>
      <c r="E1838" s="279">
        <v>45906</v>
      </c>
      <c r="F1838" s="132"/>
      <c r="G1838" s="132" t="s">
        <v>5100</v>
      </c>
      <c r="H1838" s="132" t="s">
        <v>373</v>
      </c>
      <c r="I1838" s="132" t="s">
        <v>1100</v>
      </c>
      <c r="J1838" s="132" t="s">
        <v>4623</v>
      </c>
      <c r="K1838" s="132" t="s">
        <v>4672</v>
      </c>
      <c r="L1838" s="132" t="s">
        <v>4673</v>
      </c>
      <c r="M1838" s="132" t="s">
        <v>5101</v>
      </c>
      <c r="N1838" s="132" t="s">
        <v>1105</v>
      </c>
      <c r="O1838" s="132" t="s">
        <v>5102</v>
      </c>
      <c r="P1838" s="132" t="s">
        <v>4923</v>
      </c>
      <c r="Q1838" s="132" t="s">
        <v>1108</v>
      </c>
    </row>
    <row r="1839" spans="1:17" x14ac:dyDescent="0.2">
      <c r="A1839" t="s">
        <v>139</v>
      </c>
      <c r="B1839" s="141">
        <f t="shared" si="30"/>
        <v>4.57</v>
      </c>
      <c r="C1839" s="280">
        <v>45901</v>
      </c>
      <c r="D1839" s="279">
        <v>45903</v>
      </c>
      <c r="E1839" s="279">
        <v>45906</v>
      </c>
      <c r="F1839" s="132"/>
      <c r="G1839" s="132" t="s">
        <v>1108</v>
      </c>
      <c r="H1839" s="132" t="s">
        <v>373</v>
      </c>
      <c r="I1839" s="132" t="s">
        <v>1100</v>
      </c>
      <c r="J1839" s="132" t="s">
        <v>2671</v>
      </c>
      <c r="K1839" s="132" t="s">
        <v>1927</v>
      </c>
      <c r="L1839" s="132" t="s">
        <v>2740</v>
      </c>
      <c r="M1839" s="132" t="s">
        <v>5103</v>
      </c>
      <c r="N1839" s="132" t="s">
        <v>1112</v>
      </c>
      <c r="O1839" s="132" t="s">
        <v>5104</v>
      </c>
      <c r="P1839" s="132" t="s">
        <v>4923</v>
      </c>
      <c r="Q1839" s="132" t="s">
        <v>1108</v>
      </c>
    </row>
    <row r="1840" spans="1:17" x14ac:dyDescent="0.2">
      <c r="A1840" t="s">
        <v>139</v>
      </c>
      <c r="B1840" s="141">
        <f t="shared" si="30"/>
        <v>4.6000000000000005</v>
      </c>
      <c r="C1840" s="280">
        <v>45901</v>
      </c>
      <c r="D1840" s="279">
        <v>45903</v>
      </c>
      <c r="E1840" s="279">
        <v>45906</v>
      </c>
      <c r="F1840" s="132"/>
      <c r="G1840" s="132" t="s">
        <v>4699</v>
      </c>
      <c r="H1840" s="132" t="s">
        <v>373</v>
      </c>
      <c r="I1840" s="132" t="s">
        <v>1100</v>
      </c>
      <c r="J1840" s="132" t="s">
        <v>2671</v>
      </c>
      <c r="K1840" s="132" t="s">
        <v>2672</v>
      </c>
      <c r="L1840" s="132" t="s">
        <v>2673</v>
      </c>
      <c r="M1840" s="132" t="s">
        <v>5105</v>
      </c>
      <c r="N1840" s="132" t="s">
        <v>1105</v>
      </c>
      <c r="O1840" s="132" t="s">
        <v>5106</v>
      </c>
      <c r="P1840" s="132" t="s">
        <v>4923</v>
      </c>
      <c r="Q1840" s="132" t="s">
        <v>1108</v>
      </c>
    </row>
    <row r="1841" spans="1:17" x14ac:dyDescent="0.2">
      <c r="A1841" t="s">
        <v>139</v>
      </c>
      <c r="B1841" s="141">
        <f t="shared" si="30"/>
        <v>4.6000000000000005</v>
      </c>
      <c r="C1841" s="280">
        <v>45901</v>
      </c>
      <c r="D1841" s="279">
        <v>45903</v>
      </c>
      <c r="E1841" s="279">
        <v>45906</v>
      </c>
      <c r="F1841" s="132"/>
      <c r="G1841" s="132" t="s">
        <v>1108</v>
      </c>
      <c r="H1841" s="132" t="s">
        <v>373</v>
      </c>
      <c r="I1841" s="132" t="s">
        <v>1100</v>
      </c>
      <c r="J1841" s="132" t="s">
        <v>2671</v>
      </c>
      <c r="K1841" s="132" t="s">
        <v>2672</v>
      </c>
      <c r="L1841" s="132" t="s">
        <v>2673</v>
      </c>
      <c r="M1841" s="132" t="s">
        <v>5107</v>
      </c>
      <c r="N1841" s="132" t="s">
        <v>1117</v>
      </c>
      <c r="O1841" s="132" t="s">
        <v>5108</v>
      </c>
      <c r="P1841" s="132" t="s">
        <v>4923</v>
      </c>
      <c r="Q1841" s="132" t="s">
        <v>1108</v>
      </c>
    </row>
    <row r="1842" spans="1:17" x14ac:dyDescent="0.2">
      <c r="A1842" t="s">
        <v>138</v>
      </c>
      <c r="B1842" s="141">
        <f t="shared" si="30"/>
        <v>3.13</v>
      </c>
      <c r="C1842" s="280">
        <v>45901</v>
      </c>
      <c r="D1842" s="279">
        <v>45903</v>
      </c>
      <c r="E1842" s="279">
        <v>45906</v>
      </c>
      <c r="F1842" s="132"/>
      <c r="G1842" s="132" t="s">
        <v>1108</v>
      </c>
      <c r="H1842" s="132" t="s">
        <v>373</v>
      </c>
      <c r="I1842" s="132" t="s">
        <v>1100</v>
      </c>
      <c r="J1842" s="132" t="s">
        <v>1730</v>
      </c>
      <c r="K1842" s="132" t="s">
        <v>1742</v>
      </c>
      <c r="L1842" s="132" t="s">
        <v>1743</v>
      </c>
      <c r="M1842" s="132" t="s">
        <v>5109</v>
      </c>
      <c r="N1842" s="132" t="s">
        <v>1117</v>
      </c>
      <c r="O1842" s="132" t="s">
        <v>5110</v>
      </c>
      <c r="P1842" s="132" t="s">
        <v>4923</v>
      </c>
      <c r="Q1842" s="132" t="s">
        <v>1108</v>
      </c>
    </row>
    <row r="1843" spans="1:17" x14ac:dyDescent="0.2">
      <c r="A1843" t="s">
        <v>139</v>
      </c>
      <c r="B1843" s="141">
        <f t="shared" si="30"/>
        <v>4.6000000000000005</v>
      </c>
      <c r="C1843" s="280">
        <v>45901</v>
      </c>
      <c r="D1843" s="279">
        <v>45903</v>
      </c>
      <c r="E1843" s="279">
        <v>45906</v>
      </c>
      <c r="F1843" s="132"/>
      <c r="G1843" s="132" t="s">
        <v>5111</v>
      </c>
      <c r="H1843" s="132" t="s">
        <v>373</v>
      </c>
      <c r="I1843" s="132" t="s">
        <v>1100</v>
      </c>
      <c r="J1843" s="132" t="s">
        <v>2671</v>
      </c>
      <c r="K1843" s="132" t="s">
        <v>2672</v>
      </c>
      <c r="L1843" s="132" t="s">
        <v>2673</v>
      </c>
      <c r="M1843" s="132" t="s">
        <v>5112</v>
      </c>
      <c r="N1843" s="132" t="s">
        <v>1105</v>
      </c>
      <c r="O1843" s="132" t="s">
        <v>5113</v>
      </c>
      <c r="P1843" s="132" t="s">
        <v>4923</v>
      </c>
      <c r="Q1843" s="132" t="s">
        <v>1108</v>
      </c>
    </row>
    <row r="1844" spans="1:17" x14ac:dyDescent="0.2">
      <c r="A1844" t="s">
        <v>139</v>
      </c>
      <c r="B1844" s="141">
        <f t="shared" si="30"/>
        <v>4.6000000000000005</v>
      </c>
      <c r="C1844" s="280">
        <v>45901</v>
      </c>
      <c r="D1844" s="279">
        <v>45903</v>
      </c>
      <c r="E1844" s="279">
        <v>45906</v>
      </c>
      <c r="F1844" s="132"/>
      <c r="G1844" s="132" t="s">
        <v>4626</v>
      </c>
      <c r="H1844" s="132" t="s">
        <v>373</v>
      </c>
      <c r="I1844" s="132" t="s">
        <v>1100</v>
      </c>
      <c r="J1844" s="132" t="s">
        <v>2671</v>
      </c>
      <c r="K1844" s="132" t="s">
        <v>2672</v>
      </c>
      <c r="L1844" s="132" t="s">
        <v>2673</v>
      </c>
      <c r="M1844" s="281" t="s">
        <v>5114</v>
      </c>
      <c r="N1844" s="132" t="s">
        <v>1105</v>
      </c>
      <c r="O1844" s="132" t="s">
        <v>5115</v>
      </c>
      <c r="P1844" s="132" t="s">
        <v>4923</v>
      </c>
      <c r="Q1844" s="132" t="s">
        <v>1108</v>
      </c>
    </row>
    <row r="1845" spans="1:17" x14ac:dyDescent="0.2">
      <c r="A1845" t="s">
        <v>138</v>
      </c>
      <c r="B1845" s="141">
        <f t="shared" si="30"/>
        <v>3.11</v>
      </c>
      <c r="C1845" s="280">
        <v>45901</v>
      </c>
      <c r="D1845" s="279">
        <v>45903</v>
      </c>
      <c r="E1845" s="279">
        <v>45906</v>
      </c>
      <c r="F1845" s="132"/>
      <c r="G1845" s="132" t="s">
        <v>1108</v>
      </c>
      <c r="H1845" s="132" t="s">
        <v>373</v>
      </c>
      <c r="I1845" s="132" t="s">
        <v>1100</v>
      </c>
      <c r="J1845" s="132" t="s">
        <v>1730</v>
      </c>
      <c r="K1845" s="132" t="s">
        <v>1731</v>
      </c>
      <c r="L1845" s="132" t="s">
        <v>1732</v>
      </c>
      <c r="M1845" s="132" t="s">
        <v>5116</v>
      </c>
      <c r="N1845" s="132" t="s">
        <v>1112</v>
      </c>
      <c r="O1845" s="132" t="s">
        <v>5117</v>
      </c>
      <c r="P1845" s="132" t="s">
        <v>4923</v>
      </c>
      <c r="Q1845" s="132" t="s">
        <v>1108</v>
      </c>
    </row>
    <row r="1846" spans="1:17" x14ac:dyDescent="0.2">
      <c r="A1846" t="s">
        <v>138</v>
      </c>
      <c r="B1846" s="141">
        <f t="shared" si="30"/>
        <v>3.13</v>
      </c>
      <c r="C1846" s="280">
        <v>45901</v>
      </c>
      <c r="D1846" s="279">
        <v>45903</v>
      </c>
      <c r="E1846" s="279">
        <v>45906</v>
      </c>
      <c r="F1846" s="132"/>
      <c r="G1846" s="132" t="s">
        <v>1108</v>
      </c>
      <c r="H1846" s="132" t="s">
        <v>373</v>
      </c>
      <c r="I1846" s="132" t="s">
        <v>1100</v>
      </c>
      <c r="J1846" s="132" t="s">
        <v>1730</v>
      </c>
      <c r="K1846" s="132" t="s">
        <v>1742</v>
      </c>
      <c r="L1846" s="132" t="s">
        <v>1743</v>
      </c>
      <c r="M1846" s="132" t="s">
        <v>5118</v>
      </c>
      <c r="N1846" s="132" t="s">
        <v>1117</v>
      </c>
      <c r="O1846" s="132" t="s">
        <v>5119</v>
      </c>
      <c r="P1846" s="132" t="s">
        <v>4923</v>
      </c>
      <c r="Q1846" s="132" t="s">
        <v>1108</v>
      </c>
    </row>
    <row r="1847" spans="1:17" x14ac:dyDescent="0.2">
      <c r="A1847" t="s">
        <v>138</v>
      </c>
      <c r="B1847" s="141">
        <f t="shared" si="30"/>
        <v>3.11</v>
      </c>
      <c r="C1847" s="280">
        <v>45901</v>
      </c>
      <c r="D1847" s="279">
        <v>45903</v>
      </c>
      <c r="E1847" s="279">
        <v>45906</v>
      </c>
      <c r="F1847" s="132"/>
      <c r="G1847" s="132" t="s">
        <v>1108</v>
      </c>
      <c r="H1847" s="132" t="s">
        <v>373</v>
      </c>
      <c r="I1847" s="132" t="s">
        <v>1100</v>
      </c>
      <c r="J1847" s="132" t="s">
        <v>1730</v>
      </c>
      <c r="K1847" s="132" t="s">
        <v>1731</v>
      </c>
      <c r="L1847" s="132" t="s">
        <v>1732</v>
      </c>
      <c r="M1847" s="132" t="s">
        <v>5120</v>
      </c>
      <c r="N1847" s="132" t="s">
        <v>1112</v>
      </c>
      <c r="O1847" s="132" t="s">
        <v>5121</v>
      </c>
      <c r="P1847" s="132" t="s">
        <v>4923</v>
      </c>
      <c r="Q1847" s="132" t="s">
        <v>1108</v>
      </c>
    </row>
    <row r="1848" spans="1:17" x14ac:dyDescent="0.2">
      <c r="A1848" t="s">
        <v>138</v>
      </c>
      <c r="B1848" s="141">
        <f t="shared" si="30"/>
        <v>3.13</v>
      </c>
      <c r="C1848" s="280">
        <v>45901</v>
      </c>
      <c r="D1848" s="279">
        <v>45903</v>
      </c>
      <c r="E1848" s="279">
        <v>45906</v>
      </c>
      <c r="F1848" s="132"/>
      <c r="G1848" s="132" t="s">
        <v>2462</v>
      </c>
      <c r="H1848" s="132" t="s">
        <v>373</v>
      </c>
      <c r="I1848" s="132" t="s">
        <v>1100</v>
      </c>
      <c r="J1848" s="132" t="s">
        <v>1730</v>
      </c>
      <c r="K1848" s="132" t="s">
        <v>1742</v>
      </c>
      <c r="L1848" s="132" t="s">
        <v>1743</v>
      </c>
      <c r="M1848" s="132" t="s">
        <v>5122</v>
      </c>
      <c r="N1848" s="132" t="s">
        <v>1105</v>
      </c>
      <c r="O1848" s="132" t="s">
        <v>5123</v>
      </c>
      <c r="P1848" s="132" t="s">
        <v>4923</v>
      </c>
      <c r="Q1848" s="132" t="s">
        <v>1108</v>
      </c>
    </row>
    <row r="1849" spans="1:17" x14ac:dyDescent="0.2">
      <c r="A1849" t="s">
        <v>81</v>
      </c>
      <c r="B1849" s="141">
        <f t="shared" si="30"/>
        <v>58.56</v>
      </c>
      <c r="C1849" s="280">
        <v>45901</v>
      </c>
      <c r="D1849" s="279">
        <v>45903</v>
      </c>
      <c r="E1849" s="279">
        <v>45906</v>
      </c>
      <c r="F1849" s="132"/>
      <c r="G1849" s="132" t="s">
        <v>5124</v>
      </c>
      <c r="H1849" s="132" t="s">
        <v>373</v>
      </c>
      <c r="I1849" s="132" t="s">
        <v>1100</v>
      </c>
      <c r="J1849" s="132" t="s">
        <v>4623</v>
      </c>
      <c r="K1849" s="132" t="s">
        <v>4672</v>
      </c>
      <c r="L1849" s="132" t="s">
        <v>4673</v>
      </c>
      <c r="M1849" s="132" t="s">
        <v>5125</v>
      </c>
      <c r="N1849" s="132" t="s">
        <v>1105</v>
      </c>
      <c r="O1849" s="132" t="s">
        <v>5126</v>
      </c>
      <c r="P1849" s="132" t="s">
        <v>4923</v>
      </c>
      <c r="Q1849" s="132" t="s">
        <v>1108</v>
      </c>
    </row>
    <row r="1850" spans="1:17" x14ac:dyDescent="0.2">
      <c r="A1850" t="s">
        <v>138</v>
      </c>
      <c r="B1850" s="141">
        <f t="shared" si="30"/>
        <v>3.13</v>
      </c>
      <c r="C1850" s="280">
        <v>45901</v>
      </c>
      <c r="D1850" s="279">
        <v>45903</v>
      </c>
      <c r="E1850" s="279">
        <v>45906</v>
      </c>
      <c r="F1850" s="132"/>
      <c r="G1850" s="132" t="s">
        <v>4670</v>
      </c>
      <c r="H1850" s="132" t="s">
        <v>373</v>
      </c>
      <c r="I1850" s="132" t="s">
        <v>1100</v>
      </c>
      <c r="J1850" s="132" t="s">
        <v>1730</v>
      </c>
      <c r="K1850" s="132" t="s">
        <v>1742</v>
      </c>
      <c r="L1850" s="132" t="s">
        <v>1743</v>
      </c>
      <c r="M1850" s="132" t="s">
        <v>5127</v>
      </c>
      <c r="N1850" s="132" t="s">
        <v>1105</v>
      </c>
      <c r="O1850" s="132" t="s">
        <v>5128</v>
      </c>
      <c r="P1850" s="132" t="s">
        <v>4923</v>
      </c>
      <c r="Q1850" s="132" t="s">
        <v>1108</v>
      </c>
    </row>
    <row r="1851" spans="1:17" x14ac:dyDescent="0.2">
      <c r="A1851" t="s">
        <v>81</v>
      </c>
      <c r="B1851" s="141">
        <f t="shared" si="30"/>
        <v>58.56</v>
      </c>
      <c r="C1851" s="280">
        <v>45901</v>
      </c>
      <c r="D1851" s="279">
        <v>45903</v>
      </c>
      <c r="E1851" s="279">
        <v>45906</v>
      </c>
      <c r="F1851" s="132"/>
      <c r="G1851" s="132" t="s">
        <v>4670</v>
      </c>
      <c r="H1851" s="132" t="s">
        <v>373</v>
      </c>
      <c r="I1851" s="132" t="s">
        <v>1100</v>
      </c>
      <c r="J1851" s="132" t="s">
        <v>4623</v>
      </c>
      <c r="K1851" s="132" t="s">
        <v>4672</v>
      </c>
      <c r="L1851" s="132" t="s">
        <v>4673</v>
      </c>
      <c r="M1851" s="132" t="s">
        <v>5129</v>
      </c>
      <c r="N1851" s="132" t="s">
        <v>1105</v>
      </c>
      <c r="O1851" s="132" t="s">
        <v>5130</v>
      </c>
      <c r="P1851" s="132" t="s">
        <v>4923</v>
      </c>
      <c r="Q1851" s="132" t="s">
        <v>1108</v>
      </c>
    </row>
    <row r="1852" spans="1:17" x14ac:dyDescent="0.2">
      <c r="A1852" t="s">
        <v>139</v>
      </c>
      <c r="B1852" s="141">
        <f t="shared" si="30"/>
        <v>4.6000000000000005</v>
      </c>
      <c r="C1852" s="280">
        <v>45901</v>
      </c>
      <c r="D1852" s="279">
        <v>45903</v>
      </c>
      <c r="E1852" s="279">
        <v>45906</v>
      </c>
      <c r="F1852" s="132"/>
      <c r="G1852" s="132" t="s">
        <v>1108</v>
      </c>
      <c r="H1852" s="132" t="s">
        <v>373</v>
      </c>
      <c r="I1852" s="132" t="s">
        <v>1100</v>
      </c>
      <c r="J1852" s="132" t="s">
        <v>2671</v>
      </c>
      <c r="K1852" s="132" t="s">
        <v>2672</v>
      </c>
      <c r="L1852" s="132" t="s">
        <v>2673</v>
      </c>
      <c r="M1852" s="132" t="s">
        <v>5131</v>
      </c>
      <c r="N1852" s="132" t="s">
        <v>1117</v>
      </c>
      <c r="O1852" s="132" t="s">
        <v>5132</v>
      </c>
      <c r="P1852" s="132" t="s">
        <v>4923</v>
      </c>
      <c r="Q1852" s="132" t="s">
        <v>1108</v>
      </c>
    </row>
    <row r="1853" spans="1:17" x14ac:dyDescent="0.2">
      <c r="A1853" t="s">
        <v>138</v>
      </c>
      <c r="B1853" s="141">
        <f t="shared" si="30"/>
        <v>3.13</v>
      </c>
      <c r="C1853" s="280">
        <v>45901</v>
      </c>
      <c r="D1853" s="279">
        <v>45903</v>
      </c>
      <c r="E1853" s="279">
        <v>45906</v>
      </c>
      <c r="F1853" s="132"/>
      <c r="G1853" s="132" t="s">
        <v>1108</v>
      </c>
      <c r="H1853" s="132" t="s">
        <v>373</v>
      </c>
      <c r="I1853" s="132" t="s">
        <v>1100</v>
      </c>
      <c r="J1853" s="132" t="s">
        <v>1730</v>
      </c>
      <c r="K1853" s="132" t="s">
        <v>1742</v>
      </c>
      <c r="L1853" s="132" t="s">
        <v>1743</v>
      </c>
      <c r="M1853" s="132" t="s">
        <v>5133</v>
      </c>
      <c r="N1853" s="132" t="s">
        <v>1117</v>
      </c>
      <c r="O1853" s="132" t="s">
        <v>5134</v>
      </c>
      <c r="P1853" s="132" t="s">
        <v>4923</v>
      </c>
      <c r="Q1853" s="132" t="s">
        <v>1108</v>
      </c>
    </row>
    <row r="1854" spans="1:17" x14ac:dyDescent="0.2">
      <c r="A1854" t="s">
        <v>138</v>
      </c>
      <c r="B1854" s="141">
        <f t="shared" si="30"/>
        <v>3.11</v>
      </c>
      <c r="C1854" s="280">
        <v>45901</v>
      </c>
      <c r="D1854" s="279">
        <v>45903</v>
      </c>
      <c r="E1854" s="279">
        <v>45906</v>
      </c>
      <c r="F1854" s="132"/>
      <c r="G1854" s="132" t="s">
        <v>1108</v>
      </c>
      <c r="H1854" s="132" t="s">
        <v>373</v>
      </c>
      <c r="I1854" s="132" t="s">
        <v>1100</v>
      </c>
      <c r="J1854" s="132" t="s">
        <v>1730</v>
      </c>
      <c r="K1854" s="132" t="s">
        <v>1731</v>
      </c>
      <c r="L1854" s="132" t="s">
        <v>1732</v>
      </c>
      <c r="M1854" s="132" t="s">
        <v>5135</v>
      </c>
      <c r="N1854" s="132" t="s">
        <v>1112</v>
      </c>
      <c r="O1854" s="132" t="s">
        <v>5136</v>
      </c>
      <c r="P1854" s="132" t="s">
        <v>4923</v>
      </c>
      <c r="Q1854" s="132" t="s">
        <v>1108</v>
      </c>
    </row>
    <row r="1855" spans="1:17" x14ac:dyDescent="0.2">
      <c r="A1855" t="s">
        <v>139</v>
      </c>
      <c r="B1855" s="141">
        <f t="shared" si="30"/>
        <v>4.6000000000000005</v>
      </c>
      <c r="C1855" s="280">
        <v>45901</v>
      </c>
      <c r="D1855" s="279">
        <v>45903</v>
      </c>
      <c r="E1855" s="279">
        <v>45906</v>
      </c>
      <c r="F1855" s="132"/>
      <c r="G1855" s="132" t="s">
        <v>1108</v>
      </c>
      <c r="H1855" s="132" t="s">
        <v>373</v>
      </c>
      <c r="I1855" s="132" t="s">
        <v>1100</v>
      </c>
      <c r="J1855" s="132" t="s">
        <v>2671</v>
      </c>
      <c r="K1855" s="132" t="s">
        <v>2672</v>
      </c>
      <c r="L1855" s="132" t="s">
        <v>2673</v>
      </c>
      <c r="M1855" s="132" t="s">
        <v>5137</v>
      </c>
      <c r="N1855" s="132" t="s">
        <v>1117</v>
      </c>
      <c r="O1855" s="132" t="s">
        <v>5138</v>
      </c>
      <c r="P1855" s="132" t="s">
        <v>4923</v>
      </c>
      <c r="Q1855" s="132" t="s">
        <v>1108</v>
      </c>
    </row>
    <row r="1856" spans="1:17" x14ac:dyDescent="0.2">
      <c r="A1856" t="s">
        <v>139</v>
      </c>
      <c r="B1856" s="141">
        <f t="shared" si="30"/>
        <v>4.57</v>
      </c>
      <c r="C1856" s="280">
        <v>45901</v>
      </c>
      <c r="D1856" s="279">
        <v>45903</v>
      </c>
      <c r="E1856" s="279">
        <v>45906</v>
      </c>
      <c r="F1856" s="132"/>
      <c r="G1856" s="132" t="s">
        <v>1108</v>
      </c>
      <c r="H1856" s="132" t="s">
        <v>373</v>
      </c>
      <c r="I1856" s="132" t="s">
        <v>1100</v>
      </c>
      <c r="J1856" s="132" t="s">
        <v>2671</v>
      </c>
      <c r="K1856" s="132" t="s">
        <v>1927</v>
      </c>
      <c r="L1856" s="132" t="s">
        <v>2740</v>
      </c>
      <c r="M1856" s="132" t="s">
        <v>5139</v>
      </c>
      <c r="N1856" s="132" t="s">
        <v>1112</v>
      </c>
      <c r="O1856" s="132" t="s">
        <v>5140</v>
      </c>
      <c r="P1856" s="132" t="s">
        <v>4923</v>
      </c>
      <c r="Q1856" s="132" t="s">
        <v>1108</v>
      </c>
    </row>
    <row r="1857" spans="1:17" x14ac:dyDescent="0.2">
      <c r="A1857" t="s">
        <v>138</v>
      </c>
      <c r="B1857" s="141">
        <f t="shared" si="30"/>
        <v>3.13</v>
      </c>
      <c r="C1857" s="280">
        <v>45901</v>
      </c>
      <c r="D1857" s="279">
        <v>45903</v>
      </c>
      <c r="E1857" s="279">
        <v>45906</v>
      </c>
      <c r="F1857" s="132"/>
      <c r="G1857" s="132" t="s">
        <v>1108</v>
      </c>
      <c r="H1857" s="132" t="s">
        <v>373</v>
      </c>
      <c r="I1857" s="132" t="s">
        <v>1100</v>
      </c>
      <c r="J1857" s="132" t="s">
        <v>1730</v>
      </c>
      <c r="K1857" s="132" t="s">
        <v>1742</v>
      </c>
      <c r="L1857" s="132" t="s">
        <v>1743</v>
      </c>
      <c r="M1857" s="132" t="s">
        <v>5141</v>
      </c>
      <c r="N1857" s="132" t="s">
        <v>1117</v>
      </c>
      <c r="O1857" s="132" t="s">
        <v>5142</v>
      </c>
      <c r="P1857" s="132" t="s">
        <v>4923</v>
      </c>
      <c r="Q1857" s="132" t="s">
        <v>1108</v>
      </c>
    </row>
    <row r="1858" spans="1:17" x14ac:dyDescent="0.2">
      <c r="A1858" t="s">
        <v>138</v>
      </c>
      <c r="B1858" s="141">
        <f t="shared" si="30"/>
        <v>3.13</v>
      </c>
      <c r="C1858" s="280">
        <v>45901</v>
      </c>
      <c r="D1858" s="279">
        <v>45903</v>
      </c>
      <c r="E1858" s="279">
        <v>45906</v>
      </c>
      <c r="F1858" s="132"/>
      <c r="G1858" s="132" t="s">
        <v>1108</v>
      </c>
      <c r="H1858" s="132" t="s">
        <v>373</v>
      </c>
      <c r="I1858" s="132" t="s">
        <v>1100</v>
      </c>
      <c r="J1858" s="132" t="s">
        <v>1730</v>
      </c>
      <c r="K1858" s="132" t="s">
        <v>1742</v>
      </c>
      <c r="L1858" s="132" t="s">
        <v>1743</v>
      </c>
      <c r="M1858" s="132" t="s">
        <v>5143</v>
      </c>
      <c r="N1858" s="132" t="s">
        <v>1117</v>
      </c>
      <c r="O1858" s="132" t="s">
        <v>5144</v>
      </c>
      <c r="P1858" s="132" t="s">
        <v>4923</v>
      </c>
      <c r="Q1858" s="132" t="s">
        <v>1108</v>
      </c>
    </row>
    <row r="1859" spans="1:17" x14ac:dyDescent="0.2">
      <c r="A1859" t="s">
        <v>139</v>
      </c>
      <c r="B1859" s="141">
        <f t="shared" si="30"/>
        <v>4.6000000000000005</v>
      </c>
      <c r="C1859" s="280">
        <v>45901</v>
      </c>
      <c r="D1859" s="279">
        <v>45903</v>
      </c>
      <c r="E1859" s="279">
        <v>45906</v>
      </c>
      <c r="F1859" s="132"/>
      <c r="G1859" s="132" t="s">
        <v>5145</v>
      </c>
      <c r="H1859" s="132" t="s">
        <v>373</v>
      </c>
      <c r="I1859" s="132" t="s">
        <v>1100</v>
      </c>
      <c r="J1859" s="132" t="s">
        <v>2671</v>
      </c>
      <c r="K1859" s="132" t="s">
        <v>2672</v>
      </c>
      <c r="L1859" s="132" t="s">
        <v>2673</v>
      </c>
      <c r="M1859" s="132" t="s">
        <v>5146</v>
      </c>
      <c r="N1859" s="132" t="s">
        <v>1105</v>
      </c>
      <c r="O1859" s="132" t="s">
        <v>5147</v>
      </c>
      <c r="P1859" s="132" t="s">
        <v>4923</v>
      </c>
      <c r="Q1859" s="132" t="s">
        <v>1108</v>
      </c>
    </row>
    <row r="1860" spans="1:17" x14ac:dyDescent="0.2">
      <c r="A1860" t="s">
        <v>81</v>
      </c>
      <c r="B1860" s="141">
        <f t="shared" si="30"/>
        <v>58.2</v>
      </c>
      <c r="C1860" s="280">
        <v>45901</v>
      </c>
      <c r="D1860" s="279">
        <v>45903</v>
      </c>
      <c r="E1860" s="279">
        <v>45906</v>
      </c>
      <c r="F1860" s="132"/>
      <c r="G1860" s="132" t="s">
        <v>1108</v>
      </c>
      <c r="H1860" s="132" t="s">
        <v>373</v>
      </c>
      <c r="I1860" s="132" t="s">
        <v>1100</v>
      </c>
      <c r="J1860" s="132" t="s">
        <v>4623</v>
      </c>
      <c r="K1860" s="132" t="s">
        <v>4624</v>
      </c>
      <c r="L1860" s="132" t="s">
        <v>4625</v>
      </c>
      <c r="M1860" s="132" t="s">
        <v>5148</v>
      </c>
      <c r="N1860" s="132" t="s">
        <v>1112</v>
      </c>
      <c r="O1860" s="132" t="s">
        <v>5149</v>
      </c>
      <c r="P1860" s="132" t="s">
        <v>4923</v>
      </c>
      <c r="Q1860" s="132" t="s">
        <v>1108</v>
      </c>
    </row>
    <row r="1861" spans="1:17" x14ac:dyDescent="0.2">
      <c r="A1861" t="s">
        <v>138</v>
      </c>
      <c r="B1861" s="141">
        <f t="shared" si="30"/>
        <v>3.11</v>
      </c>
      <c r="C1861" s="280">
        <v>45901</v>
      </c>
      <c r="D1861" s="279">
        <v>45903</v>
      </c>
      <c r="E1861" s="279">
        <v>45906</v>
      </c>
      <c r="F1861" s="132"/>
      <c r="G1861" s="132" t="s">
        <v>1108</v>
      </c>
      <c r="H1861" s="132" t="s">
        <v>373</v>
      </c>
      <c r="I1861" s="132" t="s">
        <v>1100</v>
      </c>
      <c r="J1861" s="132" t="s">
        <v>1730</v>
      </c>
      <c r="K1861" s="132" t="s">
        <v>1731</v>
      </c>
      <c r="L1861" s="132" t="s">
        <v>1732</v>
      </c>
      <c r="M1861" s="132" t="s">
        <v>5150</v>
      </c>
      <c r="N1861" s="132" t="s">
        <v>1112</v>
      </c>
      <c r="O1861" s="132" t="s">
        <v>5151</v>
      </c>
      <c r="P1861" s="132" t="s">
        <v>4923</v>
      </c>
      <c r="Q1861" s="132" t="s">
        <v>1108</v>
      </c>
    </row>
    <row r="1862" spans="1:17" x14ac:dyDescent="0.2">
      <c r="A1862" t="s">
        <v>139</v>
      </c>
      <c r="B1862" s="141">
        <f t="shared" si="30"/>
        <v>4.6000000000000005</v>
      </c>
      <c r="C1862" s="280">
        <v>45901</v>
      </c>
      <c r="D1862" s="279">
        <v>45903</v>
      </c>
      <c r="E1862" s="279">
        <v>45906</v>
      </c>
      <c r="F1862" s="132"/>
      <c r="G1862" s="132" t="s">
        <v>5152</v>
      </c>
      <c r="H1862" s="132" t="s">
        <v>373</v>
      </c>
      <c r="I1862" s="132" t="s">
        <v>1100</v>
      </c>
      <c r="J1862" s="132" t="s">
        <v>2671</v>
      </c>
      <c r="K1862" s="132" t="s">
        <v>2672</v>
      </c>
      <c r="L1862" s="132" t="s">
        <v>2673</v>
      </c>
      <c r="M1862" s="132" t="s">
        <v>5153</v>
      </c>
      <c r="N1862" s="132" t="s">
        <v>1105</v>
      </c>
      <c r="O1862" s="132" t="s">
        <v>5154</v>
      </c>
      <c r="P1862" s="132" t="s">
        <v>4923</v>
      </c>
      <c r="Q1862" s="132" t="s">
        <v>1108</v>
      </c>
    </row>
    <row r="1863" spans="1:17" x14ac:dyDescent="0.2">
      <c r="A1863" t="s">
        <v>139</v>
      </c>
      <c r="B1863" s="141">
        <f t="shared" si="30"/>
        <v>4.57</v>
      </c>
      <c r="C1863" s="280">
        <v>45901</v>
      </c>
      <c r="D1863" s="279">
        <v>45903</v>
      </c>
      <c r="E1863" s="279">
        <v>45906</v>
      </c>
      <c r="F1863" s="132"/>
      <c r="G1863" s="132" t="s">
        <v>1108</v>
      </c>
      <c r="H1863" s="132" t="s">
        <v>373</v>
      </c>
      <c r="I1863" s="132" t="s">
        <v>1100</v>
      </c>
      <c r="J1863" s="132" t="s">
        <v>2671</v>
      </c>
      <c r="K1863" s="132" t="s">
        <v>1927</v>
      </c>
      <c r="L1863" s="132" t="s">
        <v>2740</v>
      </c>
      <c r="M1863" s="132" t="s">
        <v>5155</v>
      </c>
      <c r="N1863" s="132" t="s">
        <v>1112</v>
      </c>
      <c r="O1863" s="132" t="s">
        <v>5156</v>
      </c>
      <c r="P1863" s="132" t="s">
        <v>4923</v>
      </c>
      <c r="Q1863" s="132" t="s">
        <v>1108</v>
      </c>
    </row>
    <row r="1864" spans="1:17" x14ac:dyDescent="0.2">
      <c r="A1864" t="s">
        <v>81</v>
      </c>
      <c r="B1864" s="141">
        <f t="shared" si="30"/>
        <v>58.2</v>
      </c>
      <c r="C1864" s="280">
        <v>45901</v>
      </c>
      <c r="D1864" s="279">
        <v>45903</v>
      </c>
      <c r="E1864" s="279">
        <v>45906</v>
      </c>
      <c r="F1864" s="132"/>
      <c r="G1864" s="132" t="s">
        <v>1108</v>
      </c>
      <c r="H1864" s="132" t="s">
        <v>373</v>
      </c>
      <c r="I1864" s="132" t="s">
        <v>1100</v>
      </c>
      <c r="J1864" s="132" t="s">
        <v>4623</v>
      </c>
      <c r="K1864" s="132" t="s">
        <v>4624</v>
      </c>
      <c r="L1864" s="132" t="s">
        <v>4625</v>
      </c>
      <c r="M1864" s="132" t="s">
        <v>5157</v>
      </c>
      <c r="N1864" s="132" t="s">
        <v>1112</v>
      </c>
      <c r="O1864" s="132" t="s">
        <v>5158</v>
      </c>
      <c r="P1864" s="132" t="s">
        <v>4923</v>
      </c>
      <c r="Q1864" s="132" t="s">
        <v>1108</v>
      </c>
    </row>
    <row r="1865" spans="1:17" x14ac:dyDescent="0.2">
      <c r="A1865" t="s">
        <v>138</v>
      </c>
      <c r="B1865" s="141">
        <f t="shared" si="30"/>
        <v>3.11</v>
      </c>
      <c r="C1865" s="280">
        <v>45901</v>
      </c>
      <c r="D1865" s="279">
        <v>45903</v>
      </c>
      <c r="E1865" s="279">
        <v>45906</v>
      </c>
      <c r="F1865" s="132"/>
      <c r="G1865" s="132" t="s">
        <v>1108</v>
      </c>
      <c r="H1865" s="132" t="s">
        <v>373</v>
      </c>
      <c r="I1865" s="132" t="s">
        <v>1100</v>
      </c>
      <c r="J1865" s="132" t="s">
        <v>1730</v>
      </c>
      <c r="K1865" s="132" t="s">
        <v>1731</v>
      </c>
      <c r="L1865" s="132" t="s">
        <v>1732</v>
      </c>
      <c r="M1865" s="132" t="s">
        <v>5159</v>
      </c>
      <c r="N1865" s="132" t="s">
        <v>1112</v>
      </c>
      <c r="O1865" s="132" t="s">
        <v>5160</v>
      </c>
      <c r="P1865" s="132" t="s">
        <v>4923</v>
      </c>
      <c r="Q1865" s="132" t="s">
        <v>1108</v>
      </c>
    </row>
    <row r="1866" spans="1:17" x14ac:dyDescent="0.2">
      <c r="A1866" t="s">
        <v>139</v>
      </c>
      <c r="B1866" s="141">
        <f t="shared" si="30"/>
        <v>4.6000000000000005</v>
      </c>
      <c r="C1866" s="280">
        <v>45901</v>
      </c>
      <c r="D1866" s="279">
        <v>45903</v>
      </c>
      <c r="E1866" s="279">
        <v>45906</v>
      </c>
      <c r="F1866" s="132"/>
      <c r="G1866" s="132" t="s">
        <v>4637</v>
      </c>
      <c r="H1866" s="132" t="s">
        <v>373</v>
      </c>
      <c r="I1866" s="132" t="s">
        <v>1100</v>
      </c>
      <c r="J1866" s="132" t="s">
        <v>2671</v>
      </c>
      <c r="K1866" s="132" t="s">
        <v>2672</v>
      </c>
      <c r="L1866" s="132" t="s">
        <v>2673</v>
      </c>
      <c r="M1866" s="132" t="s">
        <v>5161</v>
      </c>
      <c r="N1866" s="132" t="s">
        <v>1105</v>
      </c>
      <c r="O1866" s="132" t="s">
        <v>5162</v>
      </c>
      <c r="P1866" s="132" t="s">
        <v>4923</v>
      </c>
      <c r="Q1866" s="132" t="s">
        <v>1108</v>
      </c>
    </row>
    <row r="1867" spans="1:17" x14ac:dyDescent="0.2">
      <c r="A1867" t="s">
        <v>139</v>
      </c>
      <c r="B1867" s="141">
        <f t="shared" si="30"/>
        <v>4.6000000000000005</v>
      </c>
      <c r="C1867" s="280">
        <v>45901</v>
      </c>
      <c r="D1867" s="279">
        <v>45903</v>
      </c>
      <c r="E1867" s="279">
        <v>45906</v>
      </c>
      <c r="F1867" s="132"/>
      <c r="G1867" s="132" t="s">
        <v>1108</v>
      </c>
      <c r="H1867" s="132" t="s">
        <v>373</v>
      </c>
      <c r="I1867" s="132" t="s">
        <v>1100</v>
      </c>
      <c r="J1867" s="132" t="s">
        <v>2671</v>
      </c>
      <c r="K1867" s="132" t="s">
        <v>2672</v>
      </c>
      <c r="L1867" s="132" t="s">
        <v>2673</v>
      </c>
      <c r="M1867" s="132" t="s">
        <v>5163</v>
      </c>
      <c r="N1867" s="132" t="s">
        <v>1117</v>
      </c>
      <c r="O1867" s="132" t="s">
        <v>5164</v>
      </c>
      <c r="P1867" s="132" t="s">
        <v>4923</v>
      </c>
      <c r="Q1867" s="132" t="s">
        <v>1108</v>
      </c>
    </row>
    <row r="1868" spans="1:17" x14ac:dyDescent="0.2">
      <c r="A1868" t="s">
        <v>139</v>
      </c>
      <c r="B1868" s="141">
        <f t="shared" si="30"/>
        <v>4.6000000000000005</v>
      </c>
      <c r="C1868" s="280">
        <v>45901</v>
      </c>
      <c r="D1868" s="279">
        <v>45903</v>
      </c>
      <c r="E1868" s="279">
        <v>45906</v>
      </c>
      <c r="F1868" s="132"/>
      <c r="G1868" s="132" t="s">
        <v>1108</v>
      </c>
      <c r="H1868" s="132" t="s">
        <v>373</v>
      </c>
      <c r="I1868" s="132" t="s">
        <v>1100</v>
      </c>
      <c r="J1868" s="132" t="s">
        <v>2671</v>
      </c>
      <c r="K1868" s="132" t="s">
        <v>2672</v>
      </c>
      <c r="L1868" s="132" t="s">
        <v>2673</v>
      </c>
      <c r="M1868" s="132" t="s">
        <v>5165</v>
      </c>
      <c r="N1868" s="132" t="s">
        <v>1117</v>
      </c>
      <c r="O1868" s="132" t="s">
        <v>5166</v>
      </c>
      <c r="P1868" s="132" t="s">
        <v>4923</v>
      </c>
      <c r="Q1868" s="132" t="s">
        <v>1108</v>
      </c>
    </row>
    <row r="1869" spans="1:17" x14ac:dyDescent="0.2">
      <c r="A1869" t="s">
        <v>139</v>
      </c>
      <c r="B1869" s="141">
        <f t="shared" si="30"/>
        <v>4.6000000000000005</v>
      </c>
      <c r="C1869" s="280">
        <v>45901</v>
      </c>
      <c r="D1869" s="279">
        <v>45903</v>
      </c>
      <c r="E1869" s="279">
        <v>45906</v>
      </c>
      <c r="F1869" s="132"/>
      <c r="G1869" s="132" t="s">
        <v>1108</v>
      </c>
      <c r="H1869" s="132" t="s">
        <v>373</v>
      </c>
      <c r="I1869" s="132" t="s">
        <v>1100</v>
      </c>
      <c r="J1869" s="132" t="s">
        <v>2671</v>
      </c>
      <c r="K1869" s="132" t="s">
        <v>2672</v>
      </c>
      <c r="L1869" s="132" t="s">
        <v>2673</v>
      </c>
      <c r="M1869" s="132" t="s">
        <v>5167</v>
      </c>
      <c r="N1869" s="132" t="s">
        <v>1117</v>
      </c>
      <c r="O1869" s="132" t="s">
        <v>5168</v>
      </c>
      <c r="P1869" s="132" t="s">
        <v>4923</v>
      </c>
      <c r="Q1869" s="132" t="s">
        <v>1108</v>
      </c>
    </row>
    <row r="1870" spans="1:17" x14ac:dyDescent="0.2">
      <c r="A1870" t="s">
        <v>139</v>
      </c>
      <c r="B1870" s="141">
        <f t="shared" si="30"/>
        <v>4.57</v>
      </c>
      <c r="C1870" s="280">
        <v>45901</v>
      </c>
      <c r="D1870" s="279">
        <v>45903</v>
      </c>
      <c r="E1870" s="279">
        <v>45906</v>
      </c>
      <c r="F1870" s="132"/>
      <c r="G1870" s="132" t="s">
        <v>1108</v>
      </c>
      <c r="H1870" s="132" t="s">
        <v>373</v>
      </c>
      <c r="I1870" s="132" t="s">
        <v>1100</v>
      </c>
      <c r="J1870" s="132" t="s">
        <v>2671</v>
      </c>
      <c r="K1870" s="132" t="s">
        <v>1927</v>
      </c>
      <c r="L1870" s="132" t="s">
        <v>2740</v>
      </c>
      <c r="M1870" s="132" t="s">
        <v>5169</v>
      </c>
      <c r="N1870" s="132" t="s">
        <v>1112</v>
      </c>
      <c r="O1870" s="132" t="s">
        <v>5170</v>
      </c>
      <c r="P1870" s="132" t="s">
        <v>4923</v>
      </c>
      <c r="Q1870" s="132" t="s">
        <v>1108</v>
      </c>
    </row>
    <row r="1871" spans="1:17" x14ac:dyDescent="0.2">
      <c r="A1871" t="s">
        <v>139</v>
      </c>
      <c r="B1871" s="141">
        <f t="shared" si="30"/>
        <v>4.6000000000000005</v>
      </c>
      <c r="C1871" s="280">
        <v>45901</v>
      </c>
      <c r="D1871" s="279">
        <v>45903</v>
      </c>
      <c r="E1871" s="279">
        <v>45906</v>
      </c>
      <c r="F1871" s="132"/>
      <c r="G1871" s="132" t="s">
        <v>1108</v>
      </c>
      <c r="H1871" s="132" t="s">
        <v>373</v>
      </c>
      <c r="I1871" s="132" t="s">
        <v>1100</v>
      </c>
      <c r="J1871" s="132" t="s">
        <v>2671</v>
      </c>
      <c r="K1871" s="132" t="s">
        <v>2672</v>
      </c>
      <c r="L1871" s="132" t="s">
        <v>2673</v>
      </c>
      <c r="M1871" s="132" t="s">
        <v>5171</v>
      </c>
      <c r="N1871" s="132" t="s">
        <v>1117</v>
      </c>
      <c r="O1871" s="132" t="s">
        <v>5172</v>
      </c>
      <c r="P1871" s="132" t="s">
        <v>4923</v>
      </c>
      <c r="Q1871" s="132" t="s">
        <v>1108</v>
      </c>
    </row>
    <row r="1872" spans="1:17" x14ac:dyDescent="0.2">
      <c r="A1872" t="s">
        <v>139</v>
      </c>
      <c r="B1872" s="141">
        <f t="shared" si="30"/>
        <v>4.6000000000000005</v>
      </c>
      <c r="C1872" s="280">
        <v>45901</v>
      </c>
      <c r="D1872" s="279">
        <v>45903</v>
      </c>
      <c r="E1872" s="279">
        <v>45906</v>
      </c>
      <c r="F1872" s="132"/>
      <c r="G1872" s="132" t="s">
        <v>1108</v>
      </c>
      <c r="H1872" s="132" t="s">
        <v>373</v>
      </c>
      <c r="I1872" s="132" t="s">
        <v>1100</v>
      </c>
      <c r="J1872" s="132" t="s">
        <v>2671</v>
      </c>
      <c r="K1872" s="132" t="s">
        <v>2672</v>
      </c>
      <c r="L1872" s="132" t="s">
        <v>2673</v>
      </c>
      <c r="M1872" s="132" t="s">
        <v>5174</v>
      </c>
      <c r="N1872" s="132" t="s">
        <v>1117</v>
      </c>
      <c r="O1872" s="132" t="s">
        <v>5175</v>
      </c>
      <c r="P1872" s="132" t="s">
        <v>4923</v>
      </c>
      <c r="Q1872" s="132" t="s">
        <v>1108</v>
      </c>
    </row>
    <row r="1873" spans="1:17" x14ac:dyDescent="0.2">
      <c r="A1873" t="s">
        <v>138</v>
      </c>
      <c r="B1873" s="141">
        <f t="shared" si="30"/>
        <v>3.13</v>
      </c>
      <c r="C1873" s="280">
        <v>45901</v>
      </c>
      <c r="D1873" s="279">
        <v>45903</v>
      </c>
      <c r="E1873" s="279">
        <v>45906</v>
      </c>
      <c r="F1873" s="132"/>
      <c r="G1873" s="132" t="s">
        <v>1108</v>
      </c>
      <c r="H1873" s="132" t="s">
        <v>373</v>
      </c>
      <c r="I1873" s="132" t="s">
        <v>1100</v>
      </c>
      <c r="J1873" s="132" t="s">
        <v>1730</v>
      </c>
      <c r="K1873" s="132" t="s">
        <v>1742</v>
      </c>
      <c r="L1873" s="132" t="s">
        <v>1743</v>
      </c>
      <c r="M1873" s="132" t="s">
        <v>5176</v>
      </c>
      <c r="N1873" s="132" t="s">
        <v>1117</v>
      </c>
      <c r="O1873" s="132" t="s">
        <v>5177</v>
      </c>
      <c r="P1873" s="132" t="s">
        <v>4923</v>
      </c>
      <c r="Q1873" s="132" t="s">
        <v>1108</v>
      </c>
    </row>
    <row r="1874" spans="1:17" x14ac:dyDescent="0.2">
      <c r="A1874" t="s">
        <v>138</v>
      </c>
      <c r="B1874" s="141">
        <f t="shared" si="30"/>
        <v>3.13</v>
      </c>
      <c r="C1874" s="280">
        <v>45901</v>
      </c>
      <c r="D1874" s="279">
        <v>45903</v>
      </c>
      <c r="E1874" s="279">
        <v>45906</v>
      </c>
      <c r="F1874" s="132"/>
      <c r="G1874" s="132" t="s">
        <v>1108</v>
      </c>
      <c r="H1874" s="132" t="s">
        <v>373</v>
      </c>
      <c r="I1874" s="132" t="s">
        <v>1100</v>
      </c>
      <c r="J1874" s="132" t="s">
        <v>1730</v>
      </c>
      <c r="K1874" s="132" t="s">
        <v>1742</v>
      </c>
      <c r="L1874" s="132" t="s">
        <v>1743</v>
      </c>
      <c r="M1874" s="132" t="s">
        <v>5178</v>
      </c>
      <c r="N1874" s="132" t="s">
        <v>1117</v>
      </c>
      <c r="O1874" s="132" t="s">
        <v>5179</v>
      </c>
      <c r="P1874" s="132" t="s">
        <v>4923</v>
      </c>
      <c r="Q1874" s="132" t="s">
        <v>1108</v>
      </c>
    </row>
    <row r="1875" spans="1:17" x14ac:dyDescent="0.2">
      <c r="A1875" t="s">
        <v>138</v>
      </c>
      <c r="B1875" s="141">
        <f t="shared" si="30"/>
        <v>3.11</v>
      </c>
      <c r="C1875" s="280">
        <v>45901</v>
      </c>
      <c r="D1875" s="279">
        <v>45903</v>
      </c>
      <c r="E1875" s="279">
        <v>45906</v>
      </c>
      <c r="F1875" s="132"/>
      <c r="G1875" s="132" t="s">
        <v>1108</v>
      </c>
      <c r="H1875" s="132" t="s">
        <v>373</v>
      </c>
      <c r="I1875" s="132" t="s">
        <v>1100</v>
      </c>
      <c r="J1875" s="132" t="s">
        <v>1730</v>
      </c>
      <c r="K1875" s="132" t="s">
        <v>1731</v>
      </c>
      <c r="L1875" s="132" t="s">
        <v>1732</v>
      </c>
      <c r="M1875" s="132" t="s">
        <v>5180</v>
      </c>
      <c r="N1875" s="132" t="s">
        <v>1112</v>
      </c>
      <c r="O1875" s="132" t="s">
        <v>5181</v>
      </c>
      <c r="P1875" s="132" t="s">
        <v>4923</v>
      </c>
      <c r="Q1875" s="132" t="s">
        <v>1108</v>
      </c>
    </row>
    <row r="1876" spans="1:17" x14ac:dyDescent="0.2">
      <c r="A1876" t="s">
        <v>139</v>
      </c>
      <c r="B1876" s="141">
        <f t="shared" si="30"/>
        <v>4.6000000000000005</v>
      </c>
      <c r="C1876" s="280">
        <v>45901</v>
      </c>
      <c r="D1876" s="279">
        <v>45903</v>
      </c>
      <c r="E1876" s="279">
        <v>45906</v>
      </c>
      <c r="F1876" s="132"/>
      <c r="G1876" s="132" t="s">
        <v>5182</v>
      </c>
      <c r="H1876" s="132" t="s">
        <v>373</v>
      </c>
      <c r="I1876" s="132" t="s">
        <v>1100</v>
      </c>
      <c r="J1876" s="132" t="s">
        <v>2671</v>
      </c>
      <c r="K1876" s="132" t="s">
        <v>2672</v>
      </c>
      <c r="L1876" s="132" t="s">
        <v>2673</v>
      </c>
      <c r="M1876" s="132" t="s">
        <v>5183</v>
      </c>
      <c r="N1876" s="132" t="s">
        <v>1105</v>
      </c>
      <c r="O1876" s="132" t="s">
        <v>5184</v>
      </c>
      <c r="P1876" s="132" t="s">
        <v>4923</v>
      </c>
      <c r="Q1876" s="132" t="s">
        <v>1108</v>
      </c>
    </row>
    <row r="1877" spans="1:17" x14ac:dyDescent="0.2">
      <c r="A1877" t="s">
        <v>139</v>
      </c>
      <c r="B1877" s="141">
        <f t="shared" si="30"/>
        <v>4.6000000000000005</v>
      </c>
      <c r="C1877" s="280">
        <v>45901</v>
      </c>
      <c r="D1877" s="279">
        <v>45903</v>
      </c>
      <c r="E1877" s="279">
        <v>45906</v>
      </c>
      <c r="F1877" s="132"/>
      <c r="G1877" s="132" t="s">
        <v>1108</v>
      </c>
      <c r="H1877" s="132" t="s">
        <v>373</v>
      </c>
      <c r="I1877" s="132" t="s">
        <v>1100</v>
      </c>
      <c r="J1877" s="132" t="s">
        <v>2671</v>
      </c>
      <c r="K1877" s="132" t="s">
        <v>2672</v>
      </c>
      <c r="L1877" s="132" t="s">
        <v>2673</v>
      </c>
      <c r="M1877" s="132" t="s">
        <v>5185</v>
      </c>
      <c r="N1877" s="132" t="s">
        <v>1117</v>
      </c>
      <c r="O1877" s="132" t="s">
        <v>5186</v>
      </c>
      <c r="P1877" s="132" t="s">
        <v>4923</v>
      </c>
      <c r="Q1877" s="132" t="s">
        <v>1108</v>
      </c>
    </row>
    <row r="1878" spans="1:17" x14ac:dyDescent="0.2">
      <c r="A1878" t="s">
        <v>139</v>
      </c>
      <c r="B1878" s="141">
        <f t="shared" si="30"/>
        <v>4.6000000000000005</v>
      </c>
      <c r="C1878" s="280">
        <v>45901</v>
      </c>
      <c r="D1878" s="279">
        <v>45903</v>
      </c>
      <c r="E1878" s="279">
        <v>45906</v>
      </c>
      <c r="F1878" s="132"/>
      <c r="G1878" s="132" t="s">
        <v>4890</v>
      </c>
      <c r="H1878" s="132" t="s">
        <v>373</v>
      </c>
      <c r="I1878" s="132" t="s">
        <v>1100</v>
      </c>
      <c r="J1878" s="132" t="s">
        <v>2671</v>
      </c>
      <c r="K1878" s="132" t="s">
        <v>2672</v>
      </c>
      <c r="L1878" s="132" t="s">
        <v>2673</v>
      </c>
      <c r="M1878" s="132" t="s">
        <v>5187</v>
      </c>
      <c r="N1878" s="132" t="s">
        <v>1105</v>
      </c>
      <c r="O1878" s="132" t="s">
        <v>5188</v>
      </c>
      <c r="P1878" s="132" t="s">
        <v>4923</v>
      </c>
      <c r="Q1878" s="132" t="s">
        <v>1108</v>
      </c>
    </row>
    <row r="1879" spans="1:17" x14ac:dyDescent="0.2">
      <c r="A1879" t="s">
        <v>139</v>
      </c>
      <c r="B1879" s="141">
        <f t="shared" si="30"/>
        <v>4.6000000000000005</v>
      </c>
      <c r="C1879" s="280">
        <v>45901</v>
      </c>
      <c r="D1879" s="279">
        <v>45903</v>
      </c>
      <c r="E1879" s="279">
        <v>45906</v>
      </c>
      <c r="F1879" s="132"/>
      <c r="G1879" s="132" t="s">
        <v>5189</v>
      </c>
      <c r="H1879" s="132" t="s">
        <v>373</v>
      </c>
      <c r="I1879" s="132" t="s">
        <v>1100</v>
      </c>
      <c r="J1879" s="132" t="s">
        <v>2671</v>
      </c>
      <c r="K1879" s="132" t="s">
        <v>2672</v>
      </c>
      <c r="L1879" s="132" t="s">
        <v>2673</v>
      </c>
      <c r="M1879" s="132" t="s">
        <v>5190</v>
      </c>
      <c r="N1879" s="132" t="s">
        <v>1105</v>
      </c>
      <c r="O1879" s="132" t="s">
        <v>5191</v>
      </c>
      <c r="P1879" s="132" t="s">
        <v>4923</v>
      </c>
      <c r="Q1879" s="132" t="s">
        <v>1108</v>
      </c>
    </row>
    <row r="1880" spans="1:17" x14ac:dyDescent="0.2">
      <c r="A1880" t="s">
        <v>139</v>
      </c>
      <c r="B1880" s="141">
        <f t="shared" si="30"/>
        <v>4.6000000000000005</v>
      </c>
      <c r="C1880" s="280">
        <v>45901</v>
      </c>
      <c r="D1880" s="279">
        <v>45903</v>
      </c>
      <c r="E1880" s="279">
        <v>45906</v>
      </c>
      <c r="F1880" s="132"/>
      <c r="G1880" s="132" t="s">
        <v>1108</v>
      </c>
      <c r="H1880" s="132" t="s">
        <v>373</v>
      </c>
      <c r="I1880" s="132" t="s">
        <v>1100</v>
      </c>
      <c r="J1880" s="132" t="s">
        <v>2671</v>
      </c>
      <c r="K1880" s="132" t="s">
        <v>2672</v>
      </c>
      <c r="L1880" s="132" t="s">
        <v>2673</v>
      </c>
      <c r="M1880" s="132" t="s">
        <v>5192</v>
      </c>
      <c r="N1880" s="132" t="s">
        <v>1117</v>
      </c>
      <c r="O1880" s="132" t="s">
        <v>5193</v>
      </c>
      <c r="P1880" s="132" t="s">
        <v>4923</v>
      </c>
      <c r="Q1880" s="132" t="s">
        <v>1108</v>
      </c>
    </row>
    <row r="1881" spans="1:17" x14ac:dyDescent="0.2">
      <c r="A1881" t="s">
        <v>138</v>
      </c>
      <c r="B1881" s="141">
        <f t="shared" si="30"/>
        <v>3.13</v>
      </c>
      <c r="C1881" s="280">
        <v>45901</v>
      </c>
      <c r="D1881" s="279">
        <v>45903</v>
      </c>
      <c r="E1881" s="279">
        <v>45906</v>
      </c>
      <c r="F1881" s="132"/>
      <c r="G1881" s="132" t="s">
        <v>1108</v>
      </c>
      <c r="H1881" s="132" t="s">
        <v>373</v>
      </c>
      <c r="I1881" s="132" t="s">
        <v>1100</v>
      </c>
      <c r="J1881" s="132" t="s">
        <v>1730</v>
      </c>
      <c r="K1881" s="132" t="s">
        <v>1742</v>
      </c>
      <c r="L1881" s="132" t="s">
        <v>1743</v>
      </c>
      <c r="M1881" s="132" t="s">
        <v>5194</v>
      </c>
      <c r="N1881" s="132" t="s">
        <v>1117</v>
      </c>
      <c r="O1881" s="132" t="s">
        <v>5195</v>
      </c>
      <c r="P1881" s="132" t="s">
        <v>4923</v>
      </c>
      <c r="Q1881" s="132" t="s">
        <v>1108</v>
      </c>
    </row>
    <row r="1882" spans="1:17" x14ac:dyDescent="0.2">
      <c r="A1882" t="s">
        <v>139</v>
      </c>
      <c r="B1882" s="141">
        <f t="shared" si="30"/>
        <v>4.6000000000000005</v>
      </c>
      <c r="C1882" s="280">
        <v>45901</v>
      </c>
      <c r="D1882" s="279">
        <v>45903</v>
      </c>
      <c r="E1882" s="279">
        <v>45906</v>
      </c>
      <c r="F1882" s="132"/>
      <c r="G1882" s="132" t="s">
        <v>5196</v>
      </c>
      <c r="H1882" s="132" t="s">
        <v>373</v>
      </c>
      <c r="I1882" s="132" t="s">
        <v>1100</v>
      </c>
      <c r="J1882" s="132" t="s">
        <v>2671</v>
      </c>
      <c r="K1882" s="132" t="s">
        <v>2672</v>
      </c>
      <c r="L1882" s="132" t="s">
        <v>2673</v>
      </c>
      <c r="M1882" s="132" t="s">
        <v>5197</v>
      </c>
      <c r="N1882" s="132" t="s">
        <v>1105</v>
      </c>
      <c r="O1882" s="132" t="s">
        <v>5198</v>
      </c>
      <c r="P1882" s="132" t="s">
        <v>4923</v>
      </c>
      <c r="Q1882" s="132" t="s">
        <v>1108</v>
      </c>
    </row>
    <row r="1883" spans="1:17" x14ac:dyDescent="0.2">
      <c r="A1883" t="s">
        <v>138</v>
      </c>
      <c r="B1883" s="141">
        <f t="shared" si="30"/>
        <v>3.13</v>
      </c>
      <c r="C1883" s="280">
        <v>45901</v>
      </c>
      <c r="D1883" s="279">
        <v>45903</v>
      </c>
      <c r="E1883" s="279">
        <v>45906</v>
      </c>
      <c r="F1883" s="132"/>
      <c r="G1883" s="132" t="s">
        <v>1108</v>
      </c>
      <c r="H1883" s="132" t="s">
        <v>373</v>
      </c>
      <c r="I1883" s="132" t="s">
        <v>1100</v>
      </c>
      <c r="J1883" s="132" t="s">
        <v>1730</v>
      </c>
      <c r="K1883" s="132" t="s">
        <v>1742</v>
      </c>
      <c r="L1883" s="132" t="s">
        <v>1743</v>
      </c>
      <c r="M1883" s="132" t="s">
        <v>5199</v>
      </c>
      <c r="N1883" s="132" t="s">
        <v>1117</v>
      </c>
      <c r="O1883" s="132" t="s">
        <v>5200</v>
      </c>
      <c r="P1883" s="132" t="s">
        <v>4923</v>
      </c>
      <c r="Q1883" s="132" t="s">
        <v>1108</v>
      </c>
    </row>
    <row r="1884" spans="1:17" x14ac:dyDescent="0.2">
      <c r="A1884" t="s">
        <v>139</v>
      </c>
      <c r="B1884" s="141">
        <f t="shared" si="30"/>
        <v>4.6000000000000005</v>
      </c>
      <c r="C1884" s="280">
        <v>45901</v>
      </c>
      <c r="D1884" s="279">
        <v>45903</v>
      </c>
      <c r="E1884" s="279">
        <v>45906</v>
      </c>
      <c r="F1884" s="132"/>
      <c r="G1884" s="132" t="s">
        <v>5201</v>
      </c>
      <c r="H1884" s="132" t="s">
        <v>373</v>
      </c>
      <c r="I1884" s="132" t="s">
        <v>1100</v>
      </c>
      <c r="J1884" s="132" t="s">
        <v>2671</v>
      </c>
      <c r="K1884" s="132" t="s">
        <v>2672</v>
      </c>
      <c r="L1884" s="132" t="s">
        <v>2673</v>
      </c>
      <c r="M1884" s="132" t="s">
        <v>5202</v>
      </c>
      <c r="N1884" s="132" t="s">
        <v>1105</v>
      </c>
      <c r="O1884" s="132" t="s">
        <v>5203</v>
      </c>
      <c r="P1884" s="132" t="s">
        <v>4923</v>
      </c>
      <c r="Q1884" s="132" t="s">
        <v>1108</v>
      </c>
    </row>
    <row r="1885" spans="1:17" x14ac:dyDescent="0.2">
      <c r="A1885" t="s">
        <v>139</v>
      </c>
      <c r="B1885" s="141">
        <f t="shared" si="30"/>
        <v>4.6000000000000005</v>
      </c>
      <c r="C1885" s="280">
        <v>45901</v>
      </c>
      <c r="D1885" s="279">
        <v>45903</v>
      </c>
      <c r="E1885" s="279">
        <v>45906</v>
      </c>
      <c r="F1885" s="132"/>
      <c r="G1885" s="132" t="s">
        <v>1108</v>
      </c>
      <c r="H1885" s="132" t="s">
        <v>373</v>
      </c>
      <c r="I1885" s="132" t="s">
        <v>1100</v>
      </c>
      <c r="J1885" s="132" t="s">
        <v>2671</v>
      </c>
      <c r="K1885" s="132" t="s">
        <v>2672</v>
      </c>
      <c r="L1885" s="132" t="s">
        <v>2673</v>
      </c>
      <c r="M1885" s="281" t="s">
        <v>5204</v>
      </c>
      <c r="N1885" s="132" t="s">
        <v>1117</v>
      </c>
      <c r="O1885" s="132" t="s">
        <v>5205</v>
      </c>
      <c r="P1885" s="132" t="s">
        <v>4923</v>
      </c>
      <c r="Q1885" s="132" t="s">
        <v>1108</v>
      </c>
    </row>
    <row r="1886" spans="1:17" x14ac:dyDescent="0.2">
      <c r="A1886" t="s">
        <v>139</v>
      </c>
      <c r="B1886" s="141">
        <f t="shared" si="30"/>
        <v>4.6000000000000005</v>
      </c>
      <c r="C1886" s="280">
        <v>45901</v>
      </c>
      <c r="D1886" s="279">
        <v>45903</v>
      </c>
      <c r="E1886" s="279">
        <v>45906</v>
      </c>
      <c r="F1886" s="132"/>
      <c r="G1886" s="132" t="s">
        <v>1108</v>
      </c>
      <c r="H1886" s="132" t="s">
        <v>373</v>
      </c>
      <c r="I1886" s="132" t="s">
        <v>1100</v>
      </c>
      <c r="J1886" s="132" t="s">
        <v>2671</v>
      </c>
      <c r="K1886" s="132" t="s">
        <v>2672</v>
      </c>
      <c r="L1886" s="132" t="s">
        <v>2673</v>
      </c>
      <c r="M1886" s="132" t="s">
        <v>5206</v>
      </c>
      <c r="N1886" s="132" t="s">
        <v>1117</v>
      </c>
      <c r="O1886" s="132" t="s">
        <v>5207</v>
      </c>
      <c r="P1886" s="132" t="s">
        <v>4923</v>
      </c>
      <c r="Q1886" s="132" t="s">
        <v>1108</v>
      </c>
    </row>
    <row r="1887" spans="1:17" x14ac:dyDescent="0.2">
      <c r="A1887" t="s">
        <v>139</v>
      </c>
      <c r="B1887" s="141">
        <f t="shared" si="30"/>
        <v>4.6000000000000005</v>
      </c>
      <c r="C1887" s="280">
        <v>45901</v>
      </c>
      <c r="D1887" s="279">
        <v>45903</v>
      </c>
      <c r="E1887" s="279">
        <v>45906</v>
      </c>
      <c r="F1887" s="132"/>
      <c r="G1887" s="132" t="s">
        <v>5208</v>
      </c>
      <c r="H1887" s="132" t="s">
        <v>373</v>
      </c>
      <c r="I1887" s="132" t="s">
        <v>1100</v>
      </c>
      <c r="J1887" s="132" t="s">
        <v>2671</v>
      </c>
      <c r="K1887" s="132" t="s">
        <v>2672</v>
      </c>
      <c r="L1887" s="132" t="s">
        <v>2673</v>
      </c>
      <c r="M1887" s="132" t="s">
        <v>5209</v>
      </c>
      <c r="N1887" s="132" t="s">
        <v>1105</v>
      </c>
      <c r="O1887" s="281" t="s">
        <v>5210</v>
      </c>
      <c r="P1887" s="132" t="s">
        <v>4923</v>
      </c>
      <c r="Q1887" s="132" t="s">
        <v>1108</v>
      </c>
    </row>
    <row r="1888" spans="1:17" x14ac:dyDescent="0.2">
      <c r="A1888" t="s">
        <v>138</v>
      </c>
      <c r="B1888" s="141">
        <f t="shared" si="30"/>
        <v>3.13</v>
      </c>
      <c r="C1888" s="280">
        <v>45901</v>
      </c>
      <c r="D1888" s="279">
        <v>45903</v>
      </c>
      <c r="E1888" s="279">
        <v>45906</v>
      </c>
      <c r="F1888" s="132"/>
      <c r="G1888" s="132" t="s">
        <v>1108</v>
      </c>
      <c r="H1888" s="132" t="s">
        <v>373</v>
      </c>
      <c r="I1888" s="132" t="s">
        <v>1100</v>
      </c>
      <c r="J1888" s="132" t="s">
        <v>1730</v>
      </c>
      <c r="K1888" s="132" t="s">
        <v>1742</v>
      </c>
      <c r="L1888" s="132" t="s">
        <v>1743</v>
      </c>
      <c r="M1888" s="132" t="s">
        <v>5211</v>
      </c>
      <c r="N1888" s="132" t="s">
        <v>1117</v>
      </c>
      <c r="O1888" s="132" t="s">
        <v>5212</v>
      </c>
      <c r="P1888" s="132" t="s">
        <v>4923</v>
      </c>
      <c r="Q1888" s="132" t="s">
        <v>1108</v>
      </c>
    </row>
    <row r="1889" spans="1:17" x14ac:dyDescent="0.2">
      <c r="A1889" t="s">
        <v>139</v>
      </c>
      <c r="B1889" s="141">
        <f t="shared" si="30"/>
        <v>4.6000000000000005</v>
      </c>
      <c r="C1889" s="280">
        <v>45901</v>
      </c>
      <c r="D1889" s="279">
        <v>45903</v>
      </c>
      <c r="E1889" s="279">
        <v>45906</v>
      </c>
      <c r="F1889" s="132"/>
      <c r="G1889" s="132" t="s">
        <v>1108</v>
      </c>
      <c r="H1889" s="132" t="s">
        <v>373</v>
      </c>
      <c r="I1889" s="132" t="s">
        <v>1100</v>
      </c>
      <c r="J1889" s="132" t="s">
        <v>2671</v>
      </c>
      <c r="K1889" s="132" t="s">
        <v>2672</v>
      </c>
      <c r="L1889" s="132" t="s">
        <v>2673</v>
      </c>
      <c r="M1889" s="132" t="s">
        <v>5213</v>
      </c>
      <c r="N1889" s="132" t="s">
        <v>1117</v>
      </c>
      <c r="O1889" s="132" t="s">
        <v>5214</v>
      </c>
      <c r="P1889" s="132" t="s">
        <v>4923</v>
      </c>
      <c r="Q1889" s="132" t="s">
        <v>1108</v>
      </c>
    </row>
    <row r="1890" spans="1:17" x14ac:dyDescent="0.2">
      <c r="A1890" t="s">
        <v>139</v>
      </c>
      <c r="B1890" s="141">
        <f t="shared" si="30"/>
        <v>4.57</v>
      </c>
      <c r="C1890" s="280">
        <v>45901</v>
      </c>
      <c r="D1890" s="279">
        <v>45903</v>
      </c>
      <c r="E1890" s="279">
        <v>45906</v>
      </c>
      <c r="F1890" s="132"/>
      <c r="G1890" s="132" t="s">
        <v>1108</v>
      </c>
      <c r="H1890" s="132" t="s">
        <v>373</v>
      </c>
      <c r="I1890" s="132" t="s">
        <v>1100</v>
      </c>
      <c r="J1890" s="132" t="s">
        <v>2671</v>
      </c>
      <c r="K1890" s="132" t="s">
        <v>1927</v>
      </c>
      <c r="L1890" s="132" t="s">
        <v>2740</v>
      </c>
      <c r="M1890" s="132" t="s">
        <v>5215</v>
      </c>
      <c r="N1890" s="132" t="s">
        <v>1112</v>
      </c>
      <c r="O1890" s="132" t="s">
        <v>5216</v>
      </c>
      <c r="P1890" s="132" t="s">
        <v>4923</v>
      </c>
      <c r="Q1890" s="132" t="s">
        <v>1108</v>
      </c>
    </row>
    <row r="1891" spans="1:17" x14ac:dyDescent="0.2">
      <c r="A1891" t="s">
        <v>139</v>
      </c>
      <c r="B1891" s="141">
        <f t="shared" si="30"/>
        <v>9.51</v>
      </c>
      <c r="C1891" s="280">
        <v>45901</v>
      </c>
      <c r="D1891" s="279">
        <v>45903</v>
      </c>
      <c r="E1891" s="279">
        <v>45906</v>
      </c>
      <c r="F1891" s="132"/>
      <c r="G1891" s="132" t="s">
        <v>1108</v>
      </c>
      <c r="H1891" s="132" t="s">
        <v>373</v>
      </c>
      <c r="I1891" s="132" t="s">
        <v>1100</v>
      </c>
      <c r="J1891" s="132" t="s">
        <v>5217</v>
      </c>
      <c r="K1891" s="132" t="s">
        <v>5218</v>
      </c>
      <c r="L1891" s="132" t="s">
        <v>3767</v>
      </c>
      <c r="M1891" s="132" t="s">
        <v>5219</v>
      </c>
      <c r="N1891" s="132" t="s">
        <v>1117</v>
      </c>
      <c r="O1891" s="132" t="s">
        <v>5220</v>
      </c>
      <c r="P1891" s="132" t="s">
        <v>4923</v>
      </c>
      <c r="Q1891" s="132" t="s">
        <v>1108</v>
      </c>
    </row>
    <row r="1892" spans="1:17" x14ac:dyDescent="0.2">
      <c r="A1892" t="s">
        <v>138</v>
      </c>
      <c r="B1892" s="141">
        <f t="shared" si="30"/>
        <v>3.11</v>
      </c>
      <c r="C1892" s="280">
        <v>45901</v>
      </c>
      <c r="D1892" s="279">
        <v>45903</v>
      </c>
      <c r="E1892" s="279">
        <v>45906</v>
      </c>
      <c r="F1892" s="132"/>
      <c r="G1892" s="132" t="s">
        <v>1108</v>
      </c>
      <c r="H1892" s="132" t="s">
        <v>373</v>
      </c>
      <c r="I1892" s="132" t="s">
        <v>1100</v>
      </c>
      <c r="J1892" s="132" t="s">
        <v>1730</v>
      </c>
      <c r="K1892" s="132" t="s">
        <v>1731</v>
      </c>
      <c r="L1892" s="132" t="s">
        <v>1732</v>
      </c>
      <c r="M1892" s="132" t="s">
        <v>5221</v>
      </c>
      <c r="N1892" s="132" t="s">
        <v>1112</v>
      </c>
      <c r="O1892" s="132" t="s">
        <v>5222</v>
      </c>
      <c r="P1892" s="132" t="s">
        <v>4923</v>
      </c>
      <c r="Q1892" s="132" t="s">
        <v>1108</v>
      </c>
    </row>
    <row r="1893" spans="1:17" x14ac:dyDescent="0.2">
      <c r="A1893" t="s">
        <v>138</v>
      </c>
      <c r="B1893" s="141">
        <f t="shared" si="30"/>
        <v>3.11</v>
      </c>
      <c r="C1893" s="280">
        <v>45901</v>
      </c>
      <c r="D1893" s="279">
        <v>45903</v>
      </c>
      <c r="E1893" s="279">
        <v>45906</v>
      </c>
      <c r="F1893" s="132"/>
      <c r="G1893" s="132" t="s">
        <v>1108</v>
      </c>
      <c r="H1893" s="132" t="s">
        <v>373</v>
      </c>
      <c r="I1893" s="132" t="s">
        <v>1100</v>
      </c>
      <c r="J1893" s="132" t="s">
        <v>1730</v>
      </c>
      <c r="K1893" s="132" t="s">
        <v>1731</v>
      </c>
      <c r="L1893" s="132" t="s">
        <v>1732</v>
      </c>
      <c r="M1893" s="132" t="s">
        <v>5223</v>
      </c>
      <c r="N1893" s="132" t="s">
        <v>1112</v>
      </c>
      <c r="O1893" s="132" t="s">
        <v>5224</v>
      </c>
      <c r="P1893" s="132" t="s">
        <v>4923</v>
      </c>
      <c r="Q1893" s="132" t="s">
        <v>1108</v>
      </c>
    </row>
    <row r="1894" spans="1:17" x14ac:dyDescent="0.2">
      <c r="A1894" t="s">
        <v>139</v>
      </c>
      <c r="B1894" s="141">
        <f t="shared" si="30"/>
        <v>4.6000000000000005</v>
      </c>
      <c r="C1894" s="280">
        <v>45901</v>
      </c>
      <c r="D1894" s="279">
        <v>45903</v>
      </c>
      <c r="E1894" s="279">
        <v>45906</v>
      </c>
      <c r="F1894" s="132"/>
      <c r="G1894" s="132" t="s">
        <v>1108</v>
      </c>
      <c r="H1894" s="132" t="s">
        <v>373</v>
      </c>
      <c r="I1894" s="132" t="s">
        <v>1100</v>
      </c>
      <c r="J1894" s="132" t="s">
        <v>2671</v>
      </c>
      <c r="K1894" s="132" t="s">
        <v>2672</v>
      </c>
      <c r="L1894" s="132" t="s">
        <v>2673</v>
      </c>
      <c r="M1894" s="132" t="s">
        <v>5225</v>
      </c>
      <c r="N1894" s="132" t="s">
        <v>1117</v>
      </c>
      <c r="O1894" s="132" t="s">
        <v>5226</v>
      </c>
      <c r="P1894" s="132" t="s">
        <v>4923</v>
      </c>
      <c r="Q1894" s="132" t="s">
        <v>1108</v>
      </c>
    </row>
    <row r="1895" spans="1:17" x14ac:dyDescent="0.2">
      <c r="A1895" t="s">
        <v>139</v>
      </c>
      <c r="B1895" s="141">
        <f t="shared" si="30"/>
        <v>4.6000000000000005</v>
      </c>
      <c r="C1895" s="280">
        <v>45901</v>
      </c>
      <c r="D1895" s="279">
        <v>45903</v>
      </c>
      <c r="E1895" s="279">
        <v>45906</v>
      </c>
      <c r="F1895" s="132"/>
      <c r="G1895" s="132" t="s">
        <v>1108</v>
      </c>
      <c r="H1895" s="132" t="s">
        <v>373</v>
      </c>
      <c r="I1895" s="132" t="s">
        <v>1100</v>
      </c>
      <c r="J1895" s="132" t="s">
        <v>2671</v>
      </c>
      <c r="K1895" s="132" t="s">
        <v>2672</v>
      </c>
      <c r="L1895" s="132" t="s">
        <v>2673</v>
      </c>
      <c r="M1895" s="281" t="s">
        <v>5227</v>
      </c>
      <c r="N1895" s="132" t="s">
        <v>1117</v>
      </c>
      <c r="O1895" s="132" t="s">
        <v>5228</v>
      </c>
      <c r="P1895" s="132" t="s">
        <v>4923</v>
      </c>
      <c r="Q1895" s="132" t="s">
        <v>1108</v>
      </c>
    </row>
    <row r="1896" spans="1:17" x14ac:dyDescent="0.2">
      <c r="A1896" t="s">
        <v>139</v>
      </c>
      <c r="B1896" s="141">
        <f t="shared" si="30"/>
        <v>4.57</v>
      </c>
      <c r="C1896" s="280">
        <v>45901</v>
      </c>
      <c r="D1896" s="279">
        <v>45903</v>
      </c>
      <c r="E1896" s="279">
        <v>45906</v>
      </c>
      <c r="F1896" s="132"/>
      <c r="G1896" s="132" t="s">
        <v>1108</v>
      </c>
      <c r="H1896" s="132" t="s">
        <v>373</v>
      </c>
      <c r="I1896" s="132" t="s">
        <v>1100</v>
      </c>
      <c r="J1896" s="132" t="s">
        <v>2671</v>
      </c>
      <c r="K1896" s="132" t="s">
        <v>1927</v>
      </c>
      <c r="L1896" s="132" t="s">
        <v>2740</v>
      </c>
      <c r="M1896" s="132" t="s">
        <v>5229</v>
      </c>
      <c r="N1896" s="132" t="s">
        <v>1112</v>
      </c>
      <c r="O1896" s="132" t="s">
        <v>5230</v>
      </c>
      <c r="P1896" s="132" t="s">
        <v>4923</v>
      </c>
      <c r="Q1896" s="132" t="s">
        <v>1108</v>
      </c>
    </row>
    <row r="1897" spans="1:17" x14ac:dyDescent="0.2">
      <c r="A1897" t="s">
        <v>139</v>
      </c>
      <c r="B1897" s="141">
        <f t="shared" si="30"/>
        <v>4.6000000000000005</v>
      </c>
      <c r="C1897" s="280">
        <v>45901</v>
      </c>
      <c r="D1897" s="279">
        <v>45903</v>
      </c>
      <c r="E1897" s="279">
        <v>45906</v>
      </c>
      <c r="F1897" s="132"/>
      <c r="G1897" s="132" t="s">
        <v>1108</v>
      </c>
      <c r="H1897" s="132" t="s">
        <v>373</v>
      </c>
      <c r="I1897" s="132" t="s">
        <v>1100</v>
      </c>
      <c r="J1897" s="132" t="s">
        <v>2671</v>
      </c>
      <c r="K1897" s="132" t="s">
        <v>2672</v>
      </c>
      <c r="L1897" s="132" t="s">
        <v>2673</v>
      </c>
      <c r="M1897" s="132" t="s">
        <v>5231</v>
      </c>
      <c r="N1897" s="132" t="s">
        <v>1117</v>
      </c>
      <c r="O1897" s="132" t="s">
        <v>5232</v>
      </c>
      <c r="P1897" s="132" t="s">
        <v>4923</v>
      </c>
      <c r="Q1897" s="132" t="s">
        <v>1108</v>
      </c>
    </row>
    <row r="1898" spans="1:17" x14ac:dyDescent="0.2">
      <c r="A1898" t="s">
        <v>138</v>
      </c>
      <c r="B1898" s="141">
        <f t="shared" si="30"/>
        <v>3.13</v>
      </c>
      <c r="C1898" s="280">
        <v>45901</v>
      </c>
      <c r="D1898" s="279">
        <v>45903</v>
      </c>
      <c r="E1898" s="279">
        <v>45906</v>
      </c>
      <c r="F1898" s="132"/>
      <c r="G1898" s="132" t="s">
        <v>1108</v>
      </c>
      <c r="H1898" s="132" t="s">
        <v>373</v>
      </c>
      <c r="I1898" s="132" t="s">
        <v>1100</v>
      </c>
      <c r="J1898" s="132" t="s">
        <v>1730</v>
      </c>
      <c r="K1898" s="132" t="s">
        <v>1742</v>
      </c>
      <c r="L1898" s="132" t="s">
        <v>1743</v>
      </c>
      <c r="M1898" s="132" t="s">
        <v>5233</v>
      </c>
      <c r="N1898" s="132" t="s">
        <v>1117</v>
      </c>
      <c r="O1898" s="132" t="s">
        <v>5234</v>
      </c>
      <c r="P1898" s="132" t="s">
        <v>4923</v>
      </c>
      <c r="Q1898" s="132" t="s">
        <v>1108</v>
      </c>
    </row>
    <row r="1899" spans="1:17" x14ac:dyDescent="0.2">
      <c r="A1899" t="s">
        <v>138</v>
      </c>
      <c r="B1899" s="141">
        <f t="shared" si="30"/>
        <v>3.13</v>
      </c>
      <c r="C1899" s="280">
        <v>45901</v>
      </c>
      <c r="D1899" s="279">
        <v>45903</v>
      </c>
      <c r="E1899" s="279">
        <v>45906</v>
      </c>
      <c r="F1899" s="132"/>
      <c r="G1899" s="132" t="s">
        <v>4708</v>
      </c>
      <c r="H1899" s="132" t="s">
        <v>373</v>
      </c>
      <c r="I1899" s="132" t="s">
        <v>1100</v>
      </c>
      <c r="J1899" s="132" t="s">
        <v>1730</v>
      </c>
      <c r="K1899" s="132" t="s">
        <v>1742</v>
      </c>
      <c r="L1899" s="132" t="s">
        <v>1743</v>
      </c>
      <c r="M1899" s="132" t="s">
        <v>5235</v>
      </c>
      <c r="N1899" s="132" t="s">
        <v>1105</v>
      </c>
      <c r="O1899" s="132" t="s">
        <v>5236</v>
      </c>
      <c r="P1899" s="132" t="s">
        <v>4923</v>
      </c>
      <c r="Q1899" s="132" t="s">
        <v>1108</v>
      </c>
    </row>
    <row r="1900" spans="1:17" x14ac:dyDescent="0.2">
      <c r="A1900" t="s">
        <v>81</v>
      </c>
      <c r="B1900" s="141">
        <f t="shared" si="30"/>
        <v>58.2</v>
      </c>
      <c r="C1900" s="280">
        <v>45901</v>
      </c>
      <c r="D1900" s="279">
        <v>45903</v>
      </c>
      <c r="E1900" s="279">
        <v>45906</v>
      </c>
      <c r="F1900" s="132"/>
      <c r="G1900" s="132" t="s">
        <v>1108</v>
      </c>
      <c r="H1900" s="132" t="s">
        <v>373</v>
      </c>
      <c r="I1900" s="132" t="s">
        <v>1100</v>
      </c>
      <c r="J1900" s="132" t="s">
        <v>4623</v>
      </c>
      <c r="K1900" s="132" t="s">
        <v>4624</v>
      </c>
      <c r="L1900" s="132" t="s">
        <v>4625</v>
      </c>
      <c r="M1900" s="132" t="s">
        <v>5237</v>
      </c>
      <c r="N1900" s="132" t="s">
        <v>1112</v>
      </c>
      <c r="O1900" s="132" t="s">
        <v>5238</v>
      </c>
      <c r="P1900" s="132" t="s">
        <v>4923</v>
      </c>
      <c r="Q1900" s="132" t="s">
        <v>1108</v>
      </c>
    </row>
    <row r="1901" spans="1:17" x14ac:dyDescent="0.2">
      <c r="A1901" t="s">
        <v>138</v>
      </c>
      <c r="B1901" s="141">
        <f t="shared" si="30"/>
        <v>3.13</v>
      </c>
      <c r="C1901" s="280">
        <v>45901</v>
      </c>
      <c r="D1901" s="279">
        <v>45903</v>
      </c>
      <c r="E1901" s="279">
        <v>45906</v>
      </c>
      <c r="F1901" s="132"/>
      <c r="G1901" s="132" t="s">
        <v>5239</v>
      </c>
      <c r="H1901" s="132" t="s">
        <v>373</v>
      </c>
      <c r="I1901" s="132" t="s">
        <v>1100</v>
      </c>
      <c r="J1901" s="132" t="s">
        <v>1730</v>
      </c>
      <c r="K1901" s="132" t="s">
        <v>1742</v>
      </c>
      <c r="L1901" s="132" t="s">
        <v>1743</v>
      </c>
      <c r="M1901" s="132" t="s">
        <v>5240</v>
      </c>
      <c r="N1901" s="132" t="s">
        <v>1105</v>
      </c>
      <c r="O1901" s="132" t="s">
        <v>5241</v>
      </c>
      <c r="P1901" s="132" t="s">
        <v>4923</v>
      </c>
      <c r="Q1901" s="132" t="s">
        <v>1108</v>
      </c>
    </row>
    <row r="1902" spans="1:17" x14ac:dyDescent="0.2">
      <c r="A1902" t="s">
        <v>139</v>
      </c>
      <c r="B1902" s="141">
        <f t="shared" ref="B1902:B1965" si="31">_xlfn.NUMBERVALUE(L1902)*0.01</f>
        <v>4.57</v>
      </c>
      <c r="C1902" s="280">
        <v>45901</v>
      </c>
      <c r="D1902" s="279">
        <v>45903</v>
      </c>
      <c r="E1902" s="279">
        <v>45906</v>
      </c>
      <c r="F1902" s="132"/>
      <c r="G1902" s="132" t="s">
        <v>1108</v>
      </c>
      <c r="H1902" s="132" t="s">
        <v>373</v>
      </c>
      <c r="I1902" s="132" t="s">
        <v>1100</v>
      </c>
      <c r="J1902" s="132" t="s">
        <v>2671</v>
      </c>
      <c r="K1902" s="132" t="s">
        <v>1927</v>
      </c>
      <c r="L1902" s="132" t="s">
        <v>2740</v>
      </c>
      <c r="M1902" s="132" t="s">
        <v>5242</v>
      </c>
      <c r="N1902" s="132" t="s">
        <v>1112</v>
      </c>
      <c r="O1902" s="132" t="s">
        <v>5243</v>
      </c>
      <c r="P1902" s="132" t="s">
        <v>4923</v>
      </c>
      <c r="Q1902" s="132" t="s">
        <v>1108</v>
      </c>
    </row>
    <row r="1903" spans="1:17" x14ac:dyDescent="0.2">
      <c r="A1903" t="s">
        <v>138</v>
      </c>
      <c r="B1903" s="141">
        <f t="shared" si="31"/>
        <v>3.11</v>
      </c>
      <c r="C1903" s="280">
        <v>45901</v>
      </c>
      <c r="D1903" s="279">
        <v>45903</v>
      </c>
      <c r="E1903" s="279">
        <v>45906</v>
      </c>
      <c r="F1903" s="132"/>
      <c r="G1903" s="132" t="s">
        <v>1108</v>
      </c>
      <c r="H1903" s="132" t="s">
        <v>373</v>
      </c>
      <c r="I1903" s="132" t="s">
        <v>1100</v>
      </c>
      <c r="J1903" s="132" t="s">
        <v>1730</v>
      </c>
      <c r="K1903" s="132" t="s">
        <v>1731</v>
      </c>
      <c r="L1903" s="132" t="s">
        <v>1732</v>
      </c>
      <c r="M1903" s="132" t="s">
        <v>5244</v>
      </c>
      <c r="N1903" s="132" t="s">
        <v>1112</v>
      </c>
      <c r="O1903" s="132" t="s">
        <v>5245</v>
      </c>
      <c r="P1903" s="132" t="s">
        <v>4923</v>
      </c>
      <c r="Q1903" s="132" t="s">
        <v>1108</v>
      </c>
    </row>
    <row r="1904" spans="1:17" x14ac:dyDescent="0.2">
      <c r="A1904" t="s">
        <v>139</v>
      </c>
      <c r="B1904" s="141">
        <f t="shared" si="31"/>
        <v>4.57</v>
      </c>
      <c r="C1904" s="280">
        <v>45901</v>
      </c>
      <c r="D1904" s="279">
        <v>45903</v>
      </c>
      <c r="E1904" s="279">
        <v>45906</v>
      </c>
      <c r="F1904" s="132"/>
      <c r="G1904" s="132" t="s">
        <v>1108</v>
      </c>
      <c r="H1904" s="132" t="s">
        <v>373</v>
      </c>
      <c r="I1904" s="132" t="s">
        <v>1100</v>
      </c>
      <c r="J1904" s="132" t="s">
        <v>2671</v>
      </c>
      <c r="K1904" s="132" t="s">
        <v>1927</v>
      </c>
      <c r="L1904" s="132" t="s">
        <v>2740</v>
      </c>
      <c r="M1904" s="132" t="s">
        <v>5246</v>
      </c>
      <c r="N1904" s="132" t="s">
        <v>1112</v>
      </c>
      <c r="O1904" s="132" t="s">
        <v>5247</v>
      </c>
      <c r="P1904" s="132" t="s">
        <v>4923</v>
      </c>
      <c r="Q1904" s="132" t="s">
        <v>1108</v>
      </c>
    </row>
    <row r="1905" spans="1:17" x14ac:dyDescent="0.2">
      <c r="A1905" t="s">
        <v>138</v>
      </c>
      <c r="B1905" s="141">
        <f t="shared" si="31"/>
        <v>3.11</v>
      </c>
      <c r="C1905" s="280">
        <v>45901</v>
      </c>
      <c r="D1905" s="279">
        <v>45903</v>
      </c>
      <c r="E1905" s="279">
        <v>45906</v>
      </c>
      <c r="F1905" s="132"/>
      <c r="G1905" s="132" t="s">
        <v>1108</v>
      </c>
      <c r="H1905" s="132" t="s">
        <v>373</v>
      </c>
      <c r="I1905" s="132" t="s">
        <v>1100</v>
      </c>
      <c r="J1905" s="132" t="s">
        <v>1730</v>
      </c>
      <c r="K1905" s="132" t="s">
        <v>1731</v>
      </c>
      <c r="L1905" s="132" t="s">
        <v>1732</v>
      </c>
      <c r="M1905" s="132" t="s">
        <v>5248</v>
      </c>
      <c r="N1905" s="132" t="s">
        <v>1112</v>
      </c>
      <c r="O1905" s="132" t="s">
        <v>5249</v>
      </c>
      <c r="P1905" s="132" t="s">
        <v>4923</v>
      </c>
      <c r="Q1905" s="132" t="s">
        <v>1108</v>
      </c>
    </row>
    <row r="1906" spans="1:17" x14ac:dyDescent="0.2">
      <c r="A1906" t="s">
        <v>139</v>
      </c>
      <c r="B1906" s="141">
        <f t="shared" si="31"/>
        <v>4.6000000000000005</v>
      </c>
      <c r="C1906" s="280">
        <v>45901</v>
      </c>
      <c r="D1906" s="279">
        <v>45903</v>
      </c>
      <c r="E1906" s="279">
        <v>45906</v>
      </c>
      <c r="F1906" s="132"/>
      <c r="G1906" s="132" t="s">
        <v>1108</v>
      </c>
      <c r="H1906" s="132" t="s">
        <v>373</v>
      </c>
      <c r="I1906" s="132" t="s">
        <v>1100</v>
      </c>
      <c r="J1906" s="132" t="s">
        <v>2671</v>
      </c>
      <c r="K1906" s="132" t="s">
        <v>2672</v>
      </c>
      <c r="L1906" s="132" t="s">
        <v>2673</v>
      </c>
      <c r="M1906" s="132" t="s">
        <v>5250</v>
      </c>
      <c r="N1906" s="132" t="s">
        <v>1117</v>
      </c>
      <c r="O1906" s="132" t="s">
        <v>5251</v>
      </c>
      <c r="P1906" s="132" t="s">
        <v>4923</v>
      </c>
      <c r="Q1906" s="132" t="s">
        <v>1108</v>
      </c>
    </row>
    <row r="1907" spans="1:17" x14ac:dyDescent="0.2">
      <c r="A1907" t="s">
        <v>138</v>
      </c>
      <c r="B1907" s="141">
        <f t="shared" si="31"/>
        <v>3.09</v>
      </c>
      <c r="C1907" s="280">
        <v>45901</v>
      </c>
      <c r="D1907" s="279">
        <v>45903</v>
      </c>
      <c r="E1907" s="279">
        <v>45906</v>
      </c>
      <c r="F1907" s="132"/>
      <c r="G1907" s="132" t="s">
        <v>1108</v>
      </c>
      <c r="H1907" s="132" t="s">
        <v>373</v>
      </c>
      <c r="I1907" s="132" t="s">
        <v>1100</v>
      </c>
      <c r="J1907" s="132" t="s">
        <v>1730</v>
      </c>
      <c r="K1907" s="132" t="s">
        <v>1755</v>
      </c>
      <c r="L1907" s="132" t="s">
        <v>5252</v>
      </c>
      <c r="M1907" s="132" t="s">
        <v>5253</v>
      </c>
      <c r="N1907" s="132" t="s">
        <v>1117</v>
      </c>
      <c r="O1907" s="132" t="s">
        <v>5254</v>
      </c>
      <c r="P1907" s="132" t="s">
        <v>4923</v>
      </c>
      <c r="Q1907" s="132" t="s">
        <v>1108</v>
      </c>
    </row>
    <row r="1908" spans="1:17" x14ac:dyDescent="0.2">
      <c r="A1908" t="s">
        <v>139</v>
      </c>
      <c r="B1908" s="141">
        <f t="shared" si="31"/>
        <v>4.6000000000000005</v>
      </c>
      <c r="C1908" s="280">
        <v>45901</v>
      </c>
      <c r="D1908" s="279">
        <v>45903</v>
      </c>
      <c r="E1908" s="279">
        <v>45906</v>
      </c>
      <c r="F1908" s="132"/>
      <c r="G1908" s="132" t="s">
        <v>1108</v>
      </c>
      <c r="H1908" s="132" t="s">
        <v>373</v>
      </c>
      <c r="I1908" s="132" t="s">
        <v>1100</v>
      </c>
      <c r="J1908" s="132" t="s">
        <v>2671</v>
      </c>
      <c r="K1908" s="132" t="s">
        <v>2672</v>
      </c>
      <c r="L1908" s="132" t="s">
        <v>2673</v>
      </c>
      <c r="M1908" s="132" t="s">
        <v>5255</v>
      </c>
      <c r="N1908" s="132" t="s">
        <v>1117</v>
      </c>
      <c r="O1908" s="132" t="s">
        <v>5256</v>
      </c>
      <c r="P1908" s="132" t="s">
        <v>4923</v>
      </c>
      <c r="Q1908" s="132" t="s">
        <v>1108</v>
      </c>
    </row>
    <row r="1909" spans="1:17" x14ac:dyDescent="0.2">
      <c r="A1909" t="s">
        <v>139</v>
      </c>
      <c r="B1909" s="141">
        <f t="shared" si="31"/>
        <v>4.57</v>
      </c>
      <c r="C1909" s="280">
        <v>45901</v>
      </c>
      <c r="D1909" s="279">
        <v>45903</v>
      </c>
      <c r="E1909" s="279">
        <v>45906</v>
      </c>
      <c r="F1909" s="132"/>
      <c r="G1909" s="132" t="s">
        <v>1108</v>
      </c>
      <c r="H1909" s="132" t="s">
        <v>373</v>
      </c>
      <c r="I1909" s="132" t="s">
        <v>1100</v>
      </c>
      <c r="J1909" s="132" t="s">
        <v>2671</v>
      </c>
      <c r="K1909" s="132" t="s">
        <v>1927</v>
      </c>
      <c r="L1909" s="132" t="s">
        <v>2740</v>
      </c>
      <c r="M1909" s="132" t="s">
        <v>5257</v>
      </c>
      <c r="N1909" s="132" t="s">
        <v>1112</v>
      </c>
      <c r="O1909" s="132" t="s">
        <v>5258</v>
      </c>
      <c r="P1909" s="132" t="s">
        <v>4923</v>
      </c>
      <c r="Q1909" s="132" t="s">
        <v>1108</v>
      </c>
    </row>
    <row r="1910" spans="1:17" x14ac:dyDescent="0.2">
      <c r="A1910" t="s">
        <v>139</v>
      </c>
      <c r="B1910" s="141">
        <f t="shared" si="31"/>
        <v>4.6000000000000005</v>
      </c>
      <c r="C1910" s="280">
        <v>45901</v>
      </c>
      <c r="D1910" s="279">
        <v>45903</v>
      </c>
      <c r="E1910" s="279">
        <v>45906</v>
      </c>
      <c r="F1910" s="132"/>
      <c r="G1910" s="132" t="s">
        <v>1108</v>
      </c>
      <c r="H1910" s="132" t="s">
        <v>373</v>
      </c>
      <c r="I1910" s="132" t="s">
        <v>1100</v>
      </c>
      <c r="J1910" s="132" t="s">
        <v>2671</v>
      </c>
      <c r="K1910" s="132" t="s">
        <v>2672</v>
      </c>
      <c r="L1910" s="132" t="s">
        <v>2673</v>
      </c>
      <c r="M1910" s="132" t="s">
        <v>5260</v>
      </c>
      <c r="N1910" s="132" t="s">
        <v>1117</v>
      </c>
      <c r="O1910" s="132" t="s">
        <v>5261</v>
      </c>
      <c r="P1910" s="132" t="s">
        <v>4923</v>
      </c>
      <c r="Q1910" s="132" t="s">
        <v>1108</v>
      </c>
    </row>
    <row r="1911" spans="1:17" x14ac:dyDescent="0.2">
      <c r="A1911" t="s">
        <v>139</v>
      </c>
      <c r="B1911" s="141">
        <f t="shared" si="31"/>
        <v>4.6000000000000005</v>
      </c>
      <c r="C1911" s="280">
        <v>45901</v>
      </c>
      <c r="D1911" s="279">
        <v>45903</v>
      </c>
      <c r="E1911" s="279">
        <v>45906</v>
      </c>
      <c r="F1911" s="132"/>
      <c r="G1911" s="132" t="s">
        <v>1108</v>
      </c>
      <c r="H1911" s="132" t="s">
        <v>373</v>
      </c>
      <c r="I1911" s="132" t="s">
        <v>1100</v>
      </c>
      <c r="J1911" s="132" t="s">
        <v>2671</v>
      </c>
      <c r="K1911" s="132" t="s">
        <v>2672</v>
      </c>
      <c r="L1911" s="132" t="s">
        <v>2673</v>
      </c>
      <c r="M1911" s="132" t="s">
        <v>5262</v>
      </c>
      <c r="N1911" s="132" t="s">
        <v>1117</v>
      </c>
      <c r="O1911" s="132" t="s">
        <v>5263</v>
      </c>
      <c r="P1911" s="132" t="s">
        <v>4923</v>
      </c>
      <c r="Q1911" s="132" t="s">
        <v>1108</v>
      </c>
    </row>
    <row r="1912" spans="1:17" x14ac:dyDescent="0.2">
      <c r="A1912" t="s">
        <v>138</v>
      </c>
      <c r="B1912" s="141">
        <f t="shared" si="31"/>
        <v>3.13</v>
      </c>
      <c r="C1912" s="280">
        <v>45901</v>
      </c>
      <c r="D1912" s="279">
        <v>45903</v>
      </c>
      <c r="E1912" s="279">
        <v>45906</v>
      </c>
      <c r="F1912" s="132"/>
      <c r="G1912" s="132" t="s">
        <v>1108</v>
      </c>
      <c r="H1912" s="132" t="s">
        <v>373</v>
      </c>
      <c r="I1912" s="132" t="s">
        <v>1100</v>
      </c>
      <c r="J1912" s="132" t="s">
        <v>1730</v>
      </c>
      <c r="K1912" s="132" t="s">
        <v>1742</v>
      </c>
      <c r="L1912" s="132" t="s">
        <v>1743</v>
      </c>
      <c r="M1912" s="132" t="s">
        <v>5264</v>
      </c>
      <c r="N1912" s="132" t="s">
        <v>1117</v>
      </c>
      <c r="O1912" s="132" t="s">
        <v>5265</v>
      </c>
      <c r="P1912" s="132" t="s">
        <v>4923</v>
      </c>
      <c r="Q1912" s="132" t="s">
        <v>1108</v>
      </c>
    </row>
    <row r="1913" spans="1:17" x14ac:dyDescent="0.2">
      <c r="A1913" t="s">
        <v>139</v>
      </c>
      <c r="B1913" s="141">
        <f t="shared" si="31"/>
        <v>4.6000000000000005</v>
      </c>
      <c r="C1913" s="280">
        <v>45901</v>
      </c>
      <c r="D1913" s="279">
        <v>45903</v>
      </c>
      <c r="E1913" s="279">
        <v>45906</v>
      </c>
      <c r="F1913" s="132"/>
      <c r="G1913" s="132" t="s">
        <v>1108</v>
      </c>
      <c r="H1913" s="132" t="s">
        <v>373</v>
      </c>
      <c r="I1913" s="132" t="s">
        <v>1100</v>
      </c>
      <c r="J1913" s="132" t="s">
        <v>2671</v>
      </c>
      <c r="K1913" s="132" t="s">
        <v>2672</v>
      </c>
      <c r="L1913" s="132" t="s">
        <v>2673</v>
      </c>
      <c r="M1913" s="132" t="s">
        <v>5266</v>
      </c>
      <c r="N1913" s="132" t="s">
        <v>4957</v>
      </c>
      <c r="O1913" s="132" t="s">
        <v>5267</v>
      </c>
      <c r="P1913" s="132" t="s">
        <v>4923</v>
      </c>
      <c r="Q1913" s="132" t="s">
        <v>1108</v>
      </c>
    </row>
    <row r="1914" spans="1:17" x14ac:dyDescent="0.2">
      <c r="A1914" t="s">
        <v>139</v>
      </c>
      <c r="B1914" s="141">
        <f t="shared" si="31"/>
        <v>4.57</v>
      </c>
      <c r="C1914" s="280">
        <v>45901</v>
      </c>
      <c r="D1914" s="279">
        <v>45903</v>
      </c>
      <c r="E1914" s="279">
        <v>45906</v>
      </c>
      <c r="F1914" s="132"/>
      <c r="G1914" s="132" t="s">
        <v>1108</v>
      </c>
      <c r="H1914" s="132" t="s">
        <v>373</v>
      </c>
      <c r="I1914" s="132" t="s">
        <v>1100</v>
      </c>
      <c r="J1914" s="132" t="s">
        <v>2671</v>
      </c>
      <c r="K1914" s="132" t="s">
        <v>1927</v>
      </c>
      <c r="L1914" s="132" t="s">
        <v>2740</v>
      </c>
      <c r="M1914" s="132" t="s">
        <v>5268</v>
      </c>
      <c r="N1914" s="132" t="s">
        <v>1112</v>
      </c>
      <c r="O1914" s="132" t="s">
        <v>5269</v>
      </c>
      <c r="P1914" s="132" t="s">
        <v>4923</v>
      </c>
      <c r="Q1914" s="132" t="s">
        <v>1108</v>
      </c>
    </row>
    <row r="1915" spans="1:17" x14ac:dyDescent="0.2">
      <c r="A1915" t="s">
        <v>139</v>
      </c>
      <c r="B1915" s="141">
        <f t="shared" si="31"/>
        <v>4.6000000000000005</v>
      </c>
      <c r="C1915" s="280">
        <v>45901</v>
      </c>
      <c r="D1915" s="279">
        <v>45903</v>
      </c>
      <c r="E1915" s="279">
        <v>45906</v>
      </c>
      <c r="F1915" s="132"/>
      <c r="G1915" s="132" t="s">
        <v>1108</v>
      </c>
      <c r="H1915" s="132" t="s">
        <v>373</v>
      </c>
      <c r="I1915" s="132" t="s">
        <v>1100</v>
      </c>
      <c r="J1915" s="132" t="s">
        <v>2671</v>
      </c>
      <c r="K1915" s="132" t="s">
        <v>2672</v>
      </c>
      <c r="L1915" s="132" t="s">
        <v>2673</v>
      </c>
      <c r="M1915" s="132" t="s">
        <v>5271</v>
      </c>
      <c r="N1915" s="132" t="s">
        <v>1117</v>
      </c>
      <c r="O1915" s="132" t="s">
        <v>5272</v>
      </c>
      <c r="P1915" s="132" t="s">
        <v>4923</v>
      </c>
      <c r="Q1915" s="132" t="s">
        <v>1108</v>
      </c>
    </row>
    <row r="1916" spans="1:17" x14ac:dyDescent="0.2">
      <c r="A1916" t="s">
        <v>139</v>
      </c>
      <c r="B1916" s="141">
        <f t="shared" si="31"/>
        <v>4.6000000000000005</v>
      </c>
      <c r="C1916" s="280">
        <v>45901</v>
      </c>
      <c r="D1916" s="279">
        <v>45903</v>
      </c>
      <c r="E1916" s="279">
        <v>45906</v>
      </c>
      <c r="F1916" s="132"/>
      <c r="G1916" s="132" t="s">
        <v>1108</v>
      </c>
      <c r="H1916" s="132" t="s">
        <v>373</v>
      </c>
      <c r="I1916" s="132" t="s">
        <v>1100</v>
      </c>
      <c r="J1916" s="132" t="s">
        <v>2671</v>
      </c>
      <c r="K1916" s="132" t="s">
        <v>2672</v>
      </c>
      <c r="L1916" s="132" t="s">
        <v>2673</v>
      </c>
      <c r="M1916" s="132" t="s">
        <v>5273</v>
      </c>
      <c r="N1916" s="132" t="s">
        <v>1117</v>
      </c>
      <c r="O1916" s="132" t="s">
        <v>5274</v>
      </c>
      <c r="P1916" s="132" t="s">
        <v>4923</v>
      </c>
      <c r="Q1916" s="132" t="s">
        <v>1108</v>
      </c>
    </row>
    <row r="1917" spans="1:17" x14ac:dyDescent="0.2">
      <c r="A1917" t="s">
        <v>139</v>
      </c>
      <c r="B1917" s="141">
        <f t="shared" si="31"/>
        <v>4.57</v>
      </c>
      <c r="C1917" s="280">
        <v>45901</v>
      </c>
      <c r="D1917" s="279">
        <v>45903</v>
      </c>
      <c r="E1917" s="279">
        <v>45906</v>
      </c>
      <c r="F1917" s="132"/>
      <c r="G1917" s="132" t="s">
        <v>1108</v>
      </c>
      <c r="H1917" s="132" t="s">
        <v>373</v>
      </c>
      <c r="I1917" s="132" t="s">
        <v>1100</v>
      </c>
      <c r="J1917" s="132" t="s">
        <v>2671</v>
      </c>
      <c r="K1917" s="132" t="s">
        <v>1927</v>
      </c>
      <c r="L1917" s="132" t="s">
        <v>2740</v>
      </c>
      <c r="M1917" s="132" t="s">
        <v>5275</v>
      </c>
      <c r="N1917" s="132" t="s">
        <v>1112</v>
      </c>
      <c r="O1917" s="132" t="s">
        <v>5276</v>
      </c>
      <c r="P1917" s="132" t="s">
        <v>4923</v>
      </c>
      <c r="Q1917" s="132" t="s">
        <v>1108</v>
      </c>
    </row>
    <row r="1918" spans="1:17" x14ac:dyDescent="0.2">
      <c r="A1918" t="s">
        <v>139</v>
      </c>
      <c r="B1918" s="141">
        <f t="shared" si="31"/>
        <v>4.6000000000000005</v>
      </c>
      <c r="C1918" s="280">
        <v>45901</v>
      </c>
      <c r="D1918" s="279">
        <v>45903</v>
      </c>
      <c r="E1918" s="279">
        <v>45906</v>
      </c>
      <c r="F1918" s="132"/>
      <c r="G1918" s="132" t="s">
        <v>1108</v>
      </c>
      <c r="H1918" s="132" t="s">
        <v>373</v>
      </c>
      <c r="I1918" s="132" t="s">
        <v>1100</v>
      </c>
      <c r="J1918" s="132" t="s">
        <v>2671</v>
      </c>
      <c r="K1918" s="132" t="s">
        <v>2672</v>
      </c>
      <c r="L1918" s="132" t="s">
        <v>2673</v>
      </c>
      <c r="M1918" s="132" t="s">
        <v>5277</v>
      </c>
      <c r="N1918" s="132" t="s">
        <v>1117</v>
      </c>
      <c r="O1918" s="132" t="s">
        <v>5278</v>
      </c>
      <c r="P1918" s="132" t="s">
        <v>4923</v>
      </c>
      <c r="Q1918" s="132" t="s">
        <v>1108</v>
      </c>
    </row>
    <row r="1919" spans="1:17" x14ac:dyDescent="0.2">
      <c r="A1919" t="s">
        <v>139</v>
      </c>
      <c r="B1919" s="141">
        <f t="shared" si="31"/>
        <v>4.6000000000000005</v>
      </c>
      <c r="C1919" s="280">
        <v>45901</v>
      </c>
      <c r="D1919" s="279">
        <v>45903</v>
      </c>
      <c r="E1919" s="279">
        <v>45906</v>
      </c>
      <c r="F1919" s="132"/>
      <c r="G1919" s="132" t="s">
        <v>1108</v>
      </c>
      <c r="H1919" s="132" t="s">
        <v>373</v>
      </c>
      <c r="I1919" s="132" t="s">
        <v>1100</v>
      </c>
      <c r="J1919" s="132" t="s">
        <v>2671</v>
      </c>
      <c r="K1919" s="132" t="s">
        <v>2672</v>
      </c>
      <c r="L1919" s="132" t="s">
        <v>2673</v>
      </c>
      <c r="M1919" s="132" t="s">
        <v>5279</v>
      </c>
      <c r="N1919" s="132" t="s">
        <v>1117</v>
      </c>
      <c r="O1919" s="132" t="s">
        <v>5280</v>
      </c>
      <c r="P1919" s="132" t="s">
        <v>4923</v>
      </c>
      <c r="Q1919" s="132" t="s">
        <v>1108</v>
      </c>
    </row>
    <row r="1920" spans="1:17" x14ac:dyDescent="0.2">
      <c r="A1920" t="s">
        <v>139</v>
      </c>
      <c r="B1920" s="141">
        <f t="shared" si="31"/>
        <v>4.6000000000000005</v>
      </c>
      <c r="C1920" s="280">
        <v>45901</v>
      </c>
      <c r="D1920" s="279">
        <v>45903</v>
      </c>
      <c r="E1920" s="279">
        <v>45906</v>
      </c>
      <c r="F1920" s="132"/>
      <c r="G1920" s="132" t="s">
        <v>1108</v>
      </c>
      <c r="H1920" s="132" t="s">
        <v>373</v>
      </c>
      <c r="I1920" s="132" t="s">
        <v>1100</v>
      </c>
      <c r="J1920" s="132" t="s">
        <v>2671</v>
      </c>
      <c r="K1920" s="132" t="s">
        <v>2672</v>
      </c>
      <c r="L1920" s="132" t="s">
        <v>2673</v>
      </c>
      <c r="M1920" s="132" t="s">
        <v>5281</v>
      </c>
      <c r="N1920" s="132" t="s">
        <v>1117</v>
      </c>
      <c r="O1920" s="132" t="s">
        <v>5282</v>
      </c>
      <c r="P1920" s="132" t="s">
        <v>4923</v>
      </c>
      <c r="Q1920" s="132" t="s">
        <v>1108</v>
      </c>
    </row>
    <row r="1921" spans="1:17" x14ac:dyDescent="0.2">
      <c r="A1921" t="s">
        <v>139</v>
      </c>
      <c r="B1921" s="141">
        <f t="shared" si="31"/>
        <v>4.6000000000000005</v>
      </c>
      <c r="C1921" s="280">
        <v>45901</v>
      </c>
      <c r="D1921" s="279">
        <v>45903</v>
      </c>
      <c r="E1921" s="279">
        <v>45906</v>
      </c>
      <c r="F1921" s="132"/>
      <c r="G1921" s="132" t="s">
        <v>1108</v>
      </c>
      <c r="H1921" s="132" t="s">
        <v>373</v>
      </c>
      <c r="I1921" s="132" t="s">
        <v>1100</v>
      </c>
      <c r="J1921" s="132" t="s">
        <v>2671</v>
      </c>
      <c r="K1921" s="132" t="s">
        <v>2672</v>
      </c>
      <c r="L1921" s="132" t="s">
        <v>2673</v>
      </c>
      <c r="M1921" s="132" t="s">
        <v>5283</v>
      </c>
      <c r="N1921" s="132" t="s">
        <v>1117</v>
      </c>
      <c r="O1921" s="132" t="s">
        <v>5284</v>
      </c>
      <c r="P1921" s="132" t="s">
        <v>4923</v>
      </c>
      <c r="Q1921" s="132" t="s">
        <v>1108</v>
      </c>
    </row>
    <row r="1922" spans="1:17" x14ac:dyDescent="0.2">
      <c r="A1922" t="s">
        <v>138</v>
      </c>
      <c r="B1922" s="141">
        <f t="shared" si="31"/>
        <v>3.13</v>
      </c>
      <c r="C1922" s="280">
        <v>45901</v>
      </c>
      <c r="D1922" s="279">
        <v>45903</v>
      </c>
      <c r="E1922" s="279">
        <v>45906</v>
      </c>
      <c r="F1922" s="132"/>
      <c r="G1922" s="132" t="s">
        <v>4881</v>
      </c>
      <c r="H1922" s="132" t="s">
        <v>373</v>
      </c>
      <c r="I1922" s="132" t="s">
        <v>1100</v>
      </c>
      <c r="J1922" s="132" t="s">
        <v>1730</v>
      </c>
      <c r="K1922" s="132" t="s">
        <v>1742</v>
      </c>
      <c r="L1922" s="132" t="s">
        <v>1743</v>
      </c>
      <c r="M1922" s="132" t="s">
        <v>5285</v>
      </c>
      <c r="N1922" s="132" t="s">
        <v>1105</v>
      </c>
      <c r="O1922" s="132" t="s">
        <v>5286</v>
      </c>
      <c r="P1922" s="132" t="s">
        <v>4923</v>
      </c>
      <c r="Q1922" s="132" t="s">
        <v>1108</v>
      </c>
    </row>
    <row r="1923" spans="1:17" x14ac:dyDescent="0.2">
      <c r="A1923" t="s">
        <v>139</v>
      </c>
      <c r="B1923" s="141">
        <f t="shared" si="31"/>
        <v>4.6000000000000005</v>
      </c>
      <c r="C1923" s="280">
        <v>45901</v>
      </c>
      <c r="D1923" s="279">
        <v>45903</v>
      </c>
      <c r="E1923" s="279">
        <v>45906</v>
      </c>
      <c r="F1923" s="132"/>
      <c r="G1923" s="132" t="s">
        <v>1108</v>
      </c>
      <c r="H1923" s="132" t="s">
        <v>373</v>
      </c>
      <c r="I1923" s="132" t="s">
        <v>1100</v>
      </c>
      <c r="J1923" s="132" t="s">
        <v>2671</v>
      </c>
      <c r="K1923" s="132" t="s">
        <v>2672</v>
      </c>
      <c r="L1923" s="132" t="s">
        <v>2673</v>
      </c>
      <c r="M1923" s="132" t="s">
        <v>5287</v>
      </c>
      <c r="N1923" s="132" t="s">
        <v>1117</v>
      </c>
      <c r="O1923" s="132" t="s">
        <v>5288</v>
      </c>
      <c r="P1923" s="132" t="s">
        <v>4923</v>
      </c>
      <c r="Q1923" s="132" t="s">
        <v>1108</v>
      </c>
    </row>
    <row r="1924" spans="1:17" x14ac:dyDescent="0.2">
      <c r="A1924" t="s">
        <v>139</v>
      </c>
      <c r="B1924" s="141">
        <f t="shared" si="31"/>
        <v>4.57</v>
      </c>
      <c r="C1924" s="280">
        <v>45901</v>
      </c>
      <c r="D1924" s="279">
        <v>45903</v>
      </c>
      <c r="E1924" s="279">
        <v>45906</v>
      </c>
      <c r="F1924" s="132"/>
      <c r="G1924" s="132" t="s">
        <v>1108</v>
      </c>
      <c r="H1924" s="132" t="s">
        <v>373</v>
      </c>
      <c r="I1924" s="132" t="s">
        <v>1100</v>
      </c>
      <c r="J1924" s="132" t="s">
        <v>2671</v>
      </c>
      <c r="K1924" s="132" t="s">
        <v>1927</v>
      </c>
      <c r="L1924" s="132" t="s">
        <v>2740</v>
      </c>
      <c r="M1924" s="132" t="s">
        <v>5289</v>
      </c>
      <c r="N1924" s="132" t="s">
        <v>1112</v>
      </c>
      <c r="O1924" s="132" t="s">
        <v>5290</v>
      </c>
      <c r="P1924" s="132" t="s">
        <v>4923</v>
      </c>
      <c r="Q1924" s="132" t="s">
        <v>1108</v>
      </c>
    </row>
    <row r="1925" spans="1:17" x14ac:dyDescent="0.2">
      <c r="A1925" t="s">
        <v>139</v>
      </c>
      <c r="B1925" s="141">
        <f t="shared" si="31"/>
        <v>4.6000000000000005</v>
      </c>
      <c r="C1925" s="280">
        <v>45901</v>
      </c>
      <c r="D1925" s="279">
        <v>45903</v>
      </c>
      <c r="E1925" s="279">
        <v>45906</v>
      </c>
      <c r="F1925" s="132"/>
      <c r="G1925" s="132" t="s">
        <v>1108</v>
      </c>
      <c r="H1925" s="132" t="s">
        <v>373</v>
      </c>
      <c r="I1925" s="132" t="s">
        <v>1100</v>
      </c>
      <c r="J1925" s="132" t="s">
        <v>2671</v>
      </c>
      <c r="K1925" s="132" t="s">
        <v>2672</v>
      </c>
      <c r="L1925" s="132" t="s">
        <v>2673</v>
      </c>
      <c r="M1925" s="132" t="s">
        <v>5291</v>
      </c>
      <c r="N1925" s="132" t="s">
        <v>1117</v>
      </c>
      <c r="O1925" s="132" t="s">
        <v>5292</v>
      </c>
      <c r="P1925" s="132" t="s">
        <v>4923</v>
      </c>
      <c r="Q1925" s="132" t="s">
        <v>1108</v>
      </c>
    </row>
    <row r="1926" spans="1:17" x14ac:dyDescent="0.2">
      <c r="A1926" t="s">
        <v>139</v>
      </c>
      <c r="B1926" s="141">
        <f t="shared" si="31"/>
        <v>4.6000000000000005</v>
      </c>
      <c r="C1926" s="280">
        <v>45901</v>
      </c>
      <c r="D1926" s="279">
        <v>45903</v>
      </c>
      <c r="E1926" s="279">
        <v>45906</v>
      </c>
      <c r="F1926" s="132"/>
      <c r="G1926" s="132" t="s">
        <v>1108</v>
      </c>
      <c r="H1926" s="132" t="s">
        <v>373</v>
      </c>
      <c r="I1926" s="132" t="s">
        <v>1100</v>
      </c>
      <c r="J1926" s="132" t="s">
        <v>2671</v>
      </c>
      <c r="K1926" s="132" t="s">
        <v>2672</v>
      </c>
      <c r="L1926" s="132" t="s">
        <v>2673</v>
      </c>
      <c r="M1926" s="132" t="s">
        <v>5293</v>
      </c>
      <c r="N1926" s="132" t="s">
        <v>1117</v>
      </c>
      <c r="O1926" s="132" t="s">
        <v>5294</v>
      </c>
      <c r="P1926" s="132" t="s">
        <v>4923</v>
      </c>
      <c r="Q1926" s="132" t="s">
        <v>1108</v>
      </c>
    </row>
    <row r="1927" spans="1:17" x14ac:dyDescent="0.2">
      <c r="A1927" t="s">
        <v>138</v>
      </c>
      <c r="B1927" s="141">
        <f t="shared" si="31"/>
        <v>3.13</v>
      </c>
      <c r="C1927" s="280">
        <v>45901</v>
      </c>
      <c r="D1927" s="279">
        <v>45903</v>
      </c>
      <c r="E1927" s="279">
        <v>45906</v>
      </c>
      <c r="F1927" s="132"/>
      <c r="G1927" s="132" t="s">
        <v>5295</v>
      </c>
      <c r="H1927" s="132" t="s">
        <v>373</v>
      </c>
      <c r="I1927" s="132" t="s">
        <v>1100</v>
      </c>
      <c r="J1927" s="132" t="s">
        <v>1730</v>
      </c>
      <c r="K1927" s="132" t="s">
        <v>1742</v>
      </c>
      <c r="L1927" s="132" t="s">
        <v>1743</v>
      </c>
      <c r="M1927" s="132" t="s">
        <v>5296</v>
      </c>
      <c r="N1927" s="132" t="s">
        <v>1105</v>
      </c>
      <c r="O1927" s="132" t="s">
        <v>5297</v>
      </c>
      <c r="P1927" s="132" t="s">
        <v>4923</v>
      </c>
      <c r="Q1927" s="132" t="s">
        <v>1108</v>
      </c>
    </row>
    <row r="1928" spans="1:17" x14ac:dyDescent="0.2">
      <c r="A1928" t="s">
        <v>139</v>
      </c>
      <c r="B1928" s="141">
        <f t="shared" si="31"/>
        <v>4.6000000000000005</v>
      </c>
      <c r="C1928" s="280">
        <v>45901</v>
      </c>
      <c r="D1928" s="279">
        <v>45903</v>
      </c>
      <c r="E1928" s="279">
        <v>45906</v>
      </c>
      <c r="F1928" s="132"/>
      <c r="G1928" s="132" t="s">
        <v>1108</v>
      </c>
      <c r="H1928" s="132" t="s">
        <v>373</v>
      </c>
      <c r="I1928" s="132" t="s">
        <v>1100</v>
      </c>
      <c r="J1928" s="132" t="s">
        <v>2671</v>
      </c>
      <c r="K1928" s="132" t="s">
        <v>2672</v>
      </c>
      <c r="L1928" s="132" t="s">
        <v>2673</v>
      </c>
      <c r="M1928" s="132" t="s">
        <v>5298</v>
      </c>
      <c r="N1928" s="132" t="s">
        <v>1117</v>
      </c>
      <c r="O1928" s="132" t="s">
        <v>5299</v>
      </c>
      <c r="P1928" s="132" t="s">
        <v>4923</v>
      </c>
      <c r="Q1928" s="132" t="s">
        <v>1108</v>
      </c>
    </row>
    <row r="1929" spans="1:17" x14ac:dyDescent="0.2">
      <c r="A1929" t="s">
        <v>139</v>
      </c>
      <c r="B1929" s="141">
        <f t="shared" si="31"/>
        <v>4.6000000000000005</v>
      </c>
      <c r="C1929" s="280">
        <v>45901</v>
      </c>
      <c r="D1929" s="279">
        <v>45903</v>
      </c>
      <c r="E1929" s="279">
        <v>45906</v>
      </c>
      <c r="F1929" s="132"/>
      <c r="G1929" s="132" t="s">
        <v>1108</v>
      </c>
      <c r="H1929" s="132" t="s">
        <v>373</v>
      </c>
      <c r="I1929" s="132" t="s">
        <v>1100</v>
      </c>
      <c r="J1929" s="132" t="s">
        <v>2671</v>
      </c>
      <c r="K1929" s="132" t="s">
        <v>2672</v>
      </c>
      <c r="L1929" s="132" t="s">
        <v>2673</v>
      </c>
      <c r="M1929" s="132" t="s">
        <v>5300</v>
      </c>
      <c r="N1929" s="132" t="s">
        <v>1117</v>
      </c>
      <c r="O1929" s="132" t="s">
        <v>5301</v>
      </c>
      <c r="P1929" s="132" t="s">
        <v>4923</v>
      </c>
      <c r="Q1929" s="132" t="s">
        <v>1108</v>
      </c>
    </row>
    <row r="1930" spans="1:17" x14ac:dyDescent="0.2">
      <c r="A1930" t="s">
        <v>139</v>
      </c>
      <c r="B1930" s="141">
        <f t="shared" si="31"/>
        <v>4.6000000000000005</v>
      </c>
      <c r="C1930" s="280">
        <v>45901</v>
      </c>
      <c r="D1930" s="279">
        <v>45903</v>
      </c>
      <c r="E1930" s="279">
        <v>45906</v>
      </c>
      <c r="F1930" s="132"/>
      <c r="G1930" s="132" t="s">
        <v>1108</v>
      </c>
      <c r="H1930" s="132" t="s">
        <v>373</v>
      </c>
      <c r="I1930" s="132" t="s">
        <v>1100</v>
      </c>
      <c r="J1930" s="132" t="s">
        <v>2671</v>
      </c>
      <c r="K1930" s="132" t="s">
        <v>2672</v>
      </c>
      <c r="L1930" s="132" t="s">
        <v>2673</v>
      </c>
      <c r="M1930" s="132" t="s">
        <v>5303</v>
      </c>
      <c r="N1930" s="132" t="s">
        <v>1117</v>
      </c>
      <c r="O1930" s="281" t="s">
        <v>5304</v>
      </c>
      <c r="P1930" s="132" t="s">
        <v>4923</v>
      </c>
      <c r="Q1930" s="132" t="s">
        <v>1108</v>
      </c>
    </row>
    <row r="1931" spans="1:17" x14ac:dyDescent="0.2">
      <c r="A1931" t="s">
        <v>138</v>
      </c>
      <c r="B1931" s="141">
        <f t="shared" si="31"/>
        <v>3.13</v>
      </c>
      <c r="C1931" s="280">
        <v>45901</v>
      </c>
      <c r="D1931" s="279">
        <v>45903</v>
      </c>
      <c r="E1931" s="279">
        <v>45906</v>
      </c>
      <c r="F1931" s="132"/>
      <c r="G1931" s="132" t="s">
        <v>5305</v>
      </c>
      <c r="H1931" s="132" t="s">
        <v>373</v>
      </c>
      <c r="I1931" s="132" t="s">
        <v>1100</v>
      </c>
      <c r="J1931" s="132" t="s">
        <v>1730</v>
      </c>
      <c r="K1931" s="132" t="s">
        <v>1742</v>
      </c>
      <c r="L1931" s="132" t="s">
        <v>1743</v>
      </c>
      <c r="M1931" s="132" t="s">
        <v>5306</v>
      </c>
      <c r="N1931" s="132" t="s">
        <v>1105</v>
      </c>
      <c r="O1931" s="132" t="s">
        <v>5307</v>
      </c>
      <c r="P1931" s="132" t="s">
        <v>4923</v>
      </c>
      <c r="Q1931" s="132" t="s">
        <v>1108</v>
      </c>
    </row>
    <row r="1932" spans="1:17" x14ac:dyDescent="0.2">
      <c r="A1932" t="s">
        <v>139</v>
      </c>
      <c r="B1932" s="141">
        <f t="shared" si="31"/>
        <v>4.6000000000000005</v>
      </c>
      <c r="C1932" s="280">
        <v>45901</v>
      </c>
      <c r="D1932" s="279">
        <v>45903</v>
      </c>
      <c r="E1932" s="279">
        <v>45906</v>
      </c>
      <c r="F1932" s="132"/>
      <c r="G1932" s="132" t="s">
        <v>1108</v>
      </c>
      <c r="H1932" s="132" t="s">
        <v>373</v>
      </c>
      <c r="I1932" s="132" t="s">
        <v>1100</v>
      </c>
      <c r="J1932" s="132" t="s">
        <v>2671</v>
      </c>
      <c r="K1932" s="132" t="s">
        <v>2672</v>
      </c>
      <c r="L1932" s="132" t="s">
        <v>2673</v>
      </c>
      <c r="M1932" s="132" t="s">
        <v>5308</v>
      </c>
      <c r="N1932" s="132" t="s">
        <v>1117</v>
      </c>
      <c r="O1932" s="132" t="s">
        <v>5309</v>
      </c>
      <c r="P1932" s="132" t="s">
        <v>4923</v>
      </c>
      <c r="Q1932" s="132" t="s">
        <v>1108</v>
      </c>
    </row>
    <row r="1933" spans="1:17" x14ac:dyDescent="0.2">
      <c r="A1933" t="s">
        <v>138</v>
      </c>
      <c r="B1933" s="141">
        <f t="shared" si="31"/>
        <v>3.13</v>
      </c>
      <c r="C1933" s="280">
        <v>45901</v>
      </c>
      <c r="D1933" s="279">
        <v>45903</v>
      </c>
      <c r="E1933" s="279">
        <v>45906</v>
      </c>
      <c r="F1933" s="132"/>
      <c r="G1933" s="132" t="s">
        <v>1108</v>
      </c>
      <c r="H1933" s="132" t="s">
        <v>373</v>
      </c>
      <c r="I1933" s="132" t="s">
        <v>1100</v>
      </c>
      <c r="J1933" s="132" t="s">
        <v>1730</v>
      </c>
      <c r="K1933" s="132" t="s">
        <v>1742</v>
      </c>
      <c r="L1933" s="132" t="s">
        <v>1743</v>
      </c>
      <c r="M1933" s="132" t="s">
        <v>5310</v>
      </c>
      <c r="N1933" s="132" t="s">
        <v>1117</v>
      </c>
      <c r="O1933" s="132" t="s">
        <v>5311</v>
      </c>
      <c r="P1933" s="132" t="s">
        <v>4923</v>
      </c>
      <c r="Q1933" s="132" t="s">
        <v>1108</v>
      </c>
    </row>
    <row r="1934" spans="1:17" x14ac:dyDescent="0.2">
      <c r="A1934" t="s">
        <v>81</v>
      </c>
      <c r="B1934" s="141">
        <f t="shared" si="31"/>
        <v>58.2</v>
      </c>
      <c r="C1934" s="280">
        <v>45901</v>
      </c>
      <c r="D1934" s="279">
        <v>45903</v>
      </c>
      <c r="E1934" s="279">
        <v>45906</v>
      </c>
      <c r="F1934" s="132"/>
      <c r="G1934" s="132" t="s">
        <v>1108</v>
      </c>
      <c r="H1934" s="132" t="s">
        <v>373</v>
      </c>
      <c r="I1934" s="132" t="s">
        <v>1100</v>
      </c>
      <c r="J1934" s="132" t="s">
        <v>4623</v>
      </c>
      <c r="K1934" s="132" t="s">
        <v>4624</v>
      </c>
      <c r="L1934" s="132" t="s">
        <v>4625</v>
      </c>
      <c r="M1934" s="132" t="s">
        <v>5312</v>
      </c>
      <c r="N1934" s="132" t="s">
        <v>1112</v>
      </c>
      <c r="O1934" s="132" t="s">
        <v>5313</v>
      </c>
      <c r="P1934" s="132" t="s">
        <v>4923</v>
      </c>
      <c r="Q1934" s="132" t="s">
        <v>1108</v>
      </c>
    </row>
    <row r="1935" spans="1:17" x14ac:dyDescent="0.2">
      <c r="A1935" t="s">
        <v>138</v>
      </c>
      <c r="B1935" s="141">
        <f t="shared" si="31"/>
        <v>3.13</v>
      </c>
      <c r="C1935" s="280">
        <v>45901</v>
      </c>
      <c r="D1935" s="279">
        <v>45903</v>
      </c>
      <c r="E1935" s="279">
        <v>45906</v>
      </c>
      <c r="F1935" s="132"/>
      <c r="G1935" s="132" t="s">
        <v>1108</v>
      </c>
      <c r="H1935" s="132" t="s">
        <v>373</v>
      </c>
      <c r="I1935" s="132" t="s">
        <v>1100</v>
      </c>
      <c r="J1935" s="132" t="s">
        <v>1730</v>
      </c>
      <c r="K1935" s="132" t="s">
        <v>1742</v>
      </c>
      <c r="L1935" s="132" t="s">
        <v>1743</v>
      </c>
      <c r="M1935" s="132" t="s">
        <v>5314</v>
      </c>
      <c r="N1935" s="132" t="s">
        <v>1117</v>
      </c>
      <c r="O1935" s="132" t="s">
        <v>5315</v>
      </c>
      <c r="P1935" s="132" t="s">
        <v>4923</v>
      </c>
      <c r="Q1935" s="132" t="s">
        <v>1108</v>
      </c>
    </row>
    <row r="1936" spans="1:17" x14ac:dyDescent="0.2">
      <c r="A1936" t="s">
        <v>81</v>
      </c>
      <c r="B1936" s="141">
        <f t="shared" si="31"/>
        <v>58.56</v>
      </c>
      <c r="C1936" s="280">
        <v>45901</v>
      </c>
      <c r="D1936" s="279">
        <v>45903</v>
      </c>
      <c r="E1936" s="279">
        <v>45906</v>
      </c>
      <c r="F1936" s="132"/>
      <c r="G1936" s="132" t="s">
        <v>4794</v>
      </c>
      <c r="H1936" s="132" t="s">
        <v>373</v>
      </c>
      <c r="I1936" s="132" t="s">
        <v>1100</v>
      </c>
      <c r="J1936" s="132" t="s">
        <v>4623</v>
      </c>
      <c r="K1936" s="132" t="s">
        <v>4672</v>
      </c>
      <c r="L1936" s="132" t="s">
        <v>4673</v>
      </c>
      <c r="M1936" s="132" t="s">
        <v>5316</v>
      </c>
      <c r="N1936" s="132" t="s">
        <v>1105</v>
      </c>
      <c r="O1936" s="132" t="s">
        <v>5317</v>
      </c>
      <c r="P1936" s="132" t="s">
        <v>4923</v>
      </c>
      <c r="Q1936" s="132" t="s">
        <v>1108</v>
      </c>
    </row>
    <row r="1937" spans="1:17" x14ac:dyDescent="0.2">
      <c r="A1937" t="s">
        <v>81</v>
      </c>
      <c r="B1937" s="141">
        <f t="shared" si="31"/>
        <v>58.56</v>
      </c>
      <c r="C1937" s="280">
        <v>45901</v>
      </c>
      <c r="D1937" s="279">
        <v>45903</v>
      </c>
      <c r="E1937" s="279">
        <v>45906</v>
      </c>
      <c r="F1937" s="132"/>
      <c r="G1937" s="132" t="s">
        <v>5305</v>
      </c>
      <c r="H1937" s="132" t="s">
        <v>373</v>
      </c>
      <c r="I1937" s="132" t="s">
        <v>1100</v>
      </c>
      <c r="J1937" s="132" t="s">
        <v>4623</v>
      </c>
      <c r="K1937" s="132" t="s">
        <v>4672</v>
      </c>
      <c r="L1937" s="132" t="s">
        <v>4673</v>
      </c>
      <c r="M1937" s="132" t="s">
        <v>5318</v>
      </c>
      <c r="N1937" s="132" t="s">
        <v>1105</v>
      </c>
      <c r="O1937" s="132" t="s">
        <v>5319</v>
      </c>
      <c r="P1937" s="132" t="s">
        <v>4923</v>
      </c>
      <c r="Q1937" s="132" t="s">
        <v>1108</v>
      </c>
    </row>
    <row r="1938" spans="1:17" x14ac:dyDescent="0.2">
      <c r="A1938" t="s">
        <v>138</v>
      </c>
      <c r="B1938" s="141">
        <f t="shared" si="31"/>
        <v>3.13</v>
      </c>
      <c r="C1938" s="280">
        <v>45901</v>
      </c>
      <c r="D1938" s="279">
        <v>45903</v>
      </c>
      <c r="E1938" s="279">
        <v>45906</v>
      </c>
      <c r="F1938" s="132"/>
      <c r="G1938" s="132" t="s">
        <v>1108</v>
      </c>
      <c r="H1938" s="132" t="s">
        <v>373</v>
      </c>
      <c r="I1938" s="132" t="s">
        <v>1100</v>
      </c>
      <c r="J1938" s="132" t="s">
        <v>1730</v>
      </c>
      <c r="K1938" s="132" t="s">
        <v>1742</v>
      </c>
      <c r="L1938" s="132" t="s">
        <v>1743</v>
      </c>
      <c r="M1938" s="132" t="s">
        <v>5320</v>
      </c>
      <c r="N1938" s="132" t="s">
        <v>1117</v>
      </c>
      <c r="O1938" s="132" t="s">
        <v>5321</v>
      </c>
      <c r="P1938" s="132" t="s">
        <v>4923</v>
      </c>
      <c r="Q1938" s="132" t="s">
        <v>1108</v>
      </c>
    </row>
    <row r="1939" spans="1:17" x14ac:dyDescent="0.2">
      <c r="A1939" t="s">
        <v>138</v>
      </c>
      <c r="B1939" s="141">
        <f t="shared" si="31"/>
        <v>3.13</v>
      </c>
      <c r="C1939" s="280">
        <v>45901</v>
      </c>
      <c r="D1939" s="279">
        <v>45903</v>
      </c>
      <c r="E1939" s="279">
        <v>45906</v>
      </c>
      <c r="F1939" s="132"/>
      <c r="G1939" s="132" t="s">
        <v>4780</v>
      </c>
      <c r="H1939" s="132" t="s">
        <v>373</v>
      </c>
      <c r="I1939" s="132" t="s">
        <v>1100</v>
      </c>
      <c r="J1939" s="132" t="s">
        <v>1730</v>
      </c>
      <c r="K1939" s="132" t="s">
        <v>1742</v>
      </c>
      <c r="L1939" s="132" t="s">
        <v>1743</v>
      </c>
      <c r="M1939" s="132" t="s">
        <v>5322</v>
      </c>
      <c r="N1939" s="132" t="s">
        <v>1105</v>
      </c>
      <c r="O1939" s="132" t="s">
        <v>5323</v>
      </c>
      <c r="P1939" s="132" t="s">
        <v>4923</v>
      </c>
      <c r="Q1939" s="132" t="s">
        <v>1108</v>
      </c>
    </row>
    <row r="1940" spans="1:17" x14ac:dyDescent="0.2">
      <c r="A1940" t="s">
        <v>138</v>
      </c>
      <c r="B1940" s="141">
        <f t="shared" si="31"/>
        <v>3.13</v>
      </c>
      <c r="C1940" s="280">
        <v>45901</v>
      </c>
      <c r="D1940" s="279">
        <v>45903</v>
      </c>
      <c r="E1940" s="279">
        <v>45906</v>
      </c>
      <c r="F1940" s="132"/>
      <c r="G1940" s="132" t="s">
        <v>5324</v>
      </c>
      <c r="H1940" s="132" t="s">
        <v>373</v>
      </c>
      <c r="I1940" s="132" t="s">
        <v>1100</v>
      </c>
      <c r="J1940" s="132" t="s">
        <v>1730</v>
      </c>
      <c r="K1940" s="132" t="s">
        <v>1742</v>
      </c>
      <c r="L1940" s="132" t="s">
        <v>1743</v>
      </c>
      <c r="M1940" s="132" t="s">
        <v>5325</v>
      </c>
      <c r="N1940" s="132" t="s">
        <v>1105</v>
      </c>
      <c r="O1940" s="132" t="s">
        <v>5326</v>
      </c>
      <c r="P1940" s="132" t="s">
        <v>4923</v>
      </c>
      <c r="Q1940" s="132" t="s">
        <v>1108</v>
      </c>
    </row>
    <row r="1941" spans="1:17" x14ac:dyDescent="0.2">
      <c r="A1941" t="s">
        <v>138</v>
      </c>
      <c r="B1941" s="141">
        <f t="shared" si="31"/>
        <v>3.13</v>
      </c>
      <c r="C1941" s="280">
        <v>45901</v>
      </c>
      <c r="D1941" s="279">
        <v>45903</v>
      </c>
      <c r="E1941" s="279">
        <v>45906</v>
      </c>
      <c r="F1941" s="132"/>
      <c r="G1941" s="132" t="s">
        <v>1108</v>
      </c>
      <c r="H1941" s="132" t="s">
        <v>373</v>
      </c>
      <c r="I1941" s="132" t="s">
        <v>1100</v>
      </c>
      <c r="J1941" s="132" t="s">
        <v>1730</v>
      </c>
      <c r="K1941" s="132" t="s">
        <v>1742</v>
      </c>
      <c r="L1941" s="132" t="s">
        <v>1743</v>
      </c>
      <c r="M1941" s="132" t="s">
        <v>5327</v>
      </c>
      <c r="N1941" s="132" t="s">
        <v>1117</v>
      </c>
      <c r="O1941" s="132" t="s">
        <v>5328</v>
      </c>
      <c r="P1941" s="132" t="s">
        <v>4923</v>
      </c>
      <c r="Q1941" s="132" t="s">
        <v>1108</v>
      </c>
    </row>
    <row r="1942" spans="1:17" x14ac:dyDescent="0.2">
      <c r="A1942" t="s">
        <v>138</v>
      </c>
      <c r="B1942" s="141">
        <f t="shared" si="31"/>
        <v>3.13</v>
      </c>
      <c r="C1942" s="280">
        <v>45901</v>
      </c>
      <c r="D1942" s="279">
        <v>45903</v>
      </c>
      <c r="E1942" s="279">
        <v>45906</v>
      </c>
      <c r="F1942" s="132"/>
      <c r="G1942" s="132" t="s">
        <v>5329</v>
      </c>
      <c r="H1942" s="132" t="s">
        <v>373</v>
      </c>
      <c r="I1942" s="132" t="s">
        <v>1100</v>
      </c>
      <c r="J1942" s="132" t="s">
        <v>1730</v>
      </c>
      <c r="K1942" s="132" t="s">
        <v>1742</v>
      </c>
      <c r="L1942" s="132" t="s">
        <v>1743</v>
      </c>
      <c r="M1942" s="132" t="s">
        <v>5330</v>
      </c>
      <c r="N1942" s="132" t="s">
        <v>1105</v>
      </c>
      <c r="O1942" s="132" t="s">
        <v>5331</v>
      </c>
      <c r="P1942" s="132" t="s">
        <v>4923</v>
      </c>
      <c r="Q1942" s="132" t="s">
        <v>1108</v>
      </c>
    </row>
    <row r="1943" spans="1:17" x14ac:dyDescent="0.2">
      <c r="A1943" t="s">
        <v>139</v>
      </c>
      <c r="B1943" s="141">
        <f t="shared" si="31"/>
        <v>4.6000000000000005</v>
      </c>
      <c r="C1943" s="280">
        <v>45901</v>
      </c>
      <c r="D1943" s="279">
        <v>45903</v>
      </c>
      <c r="E1943" s="279">
        <v>45906</v>
      </c>
      <c r="F1943" s="132"/>
      <c r="G1943" s="132" t="s">
        <v>1108</v>
      </c>
      <c r="H1943" s="132" t="s">
        <v>373</v>
      </c>
      <c r="I1943" s="132" t="s">
        <v>1100</v>
      </c>
      <c r="J1943" s="132" t="s">
        <v>2671</v>
      </c>
      <c r="K1943" s="132" t="s">
        <v>2672</v>
      </c>
      <c r="L1943" s="132" t="s">
        <v>2673</v>
      </c>
      <c r="M1943" s="132" t="s">
        <v>5332</v>
      </c>
      <c r="N1943" s="132" t="s">
        <v>1117</v>
      </c>
      <c r="O1943" s="132" t="s">
        <v>5333</v>
      </c>
      <c r="P1943" s="132" t="s">
        <v>4923</v>
      </c>
      <c r="Q1943" s="132" t="s">
        <v>1108</v>
      </c>
    </row>
    <row r="1944" spans="1:17" x14ac:dyDescent="0.2">
      <c r="A1944" t="s">
        <v>139</v>
      </c>
      <c r="B1944" s="141">
        <f t="shared" si="31"/>
        <v>4.6000000000000005</v>
      </c>
      <c r="C1944" s="280">
        <v>45901</v>
      </c>
      <c r="D1944" s="279">
        <v>45903</v>
      </c>
      <c r="E1944" s="279">
        <v>45906</v>
      </c>
      <c r="F1944" s="132"/>
      <c r="G1944" s="132" t="s">
        <v>1108</v>
      </c>
      <c r="H1944" s="132" t="s">
        <v>373</v>
      </c>
      <c r="I1944" s="132" t="s">
        <v>1100</v>
      </c>
      <c r="J1944" s="132" t="s">
        <v>2671</v>
      </c>
      <c r="K1944" s="132" t="s">
        <v>2672</v>
      </c>
      <c r="L1944" s="132" t="s">
        <v>2673</v>
      </c>
      <c r="M1944" s="132" t="s">
        <v>5334</v>
      </c>
      <c r="N1944" s="132" t="s">
        <v>1117</v>
      </c>
      <c r="O1944" s="132" t="s">
        <v>5335</v>
      </c>
      <c r="P1944" s="132" t="s">
        <v>4923</v>
      </c>
      <c r="Q1944" s="132" t="s">
        <v>1108</v>
      </c>
    </row>
    <row r="1945" spans="1:17" x14ac:dyDescent="0.2">
      <c r="A1945" t="s">
        <v>81</v>
      </c>
      <c r="B1945" s="141">
        <f t="shared" si="31"/>
        <v>58.56</v>
      </c>
      <c r="C1945" s="280">
        <v>45901</v>
      </c>
      <c r="D1945" s="279">
        <v>45903</v>
      </c>
      <c r="E1945" s="279">
        <v>45906</v>
      </c>
      <c r="F1945" s="132"/>
      <c r="G1945" s="132" t="s">
        <v>5239</v>
      </c>
      <c r="H1945" s="132" t="s">
        <v>373</v>
      </c>
      <c r="I1945" s="132" t="s">
        <v>1100</v>
      </c>
      <c r="J1945" s="132" t="s">
        <v>4623</v>
      </c>
      <c r="K1945" s="132" t="s">
        <v>4672</v>
      </c>
      <c r="L1945" s="132" t="s">
        <v>4673</v>
      </c>
      <c r="M1945" s="132" t="s">
        <v>5336</v>
      </c>
      <c r="N1945" s="132" t="s">
        <v>1105</v>
      </c>
      <c r="O1945" s="132" t="s">
        <v>5337</v>
      </c>
      <c r="P1945" s="132" t="s">
        <v>4923</v>
      </c>
      <c r="Q1945" s="132" t="s">
        <v>1108</v>
      </c>
    </row>
    <row r="1946" spans="1:17" x14ac:dyDescent="0.2">
      <c r="A1946" t="s">
        <v>81</v>
      </c>
      <c r="B1946" s="141">
        <f t="shared" si="31"/>
        <v>58.56</v>
      </c>
      <c r="C1946" s="280">
        <v>45901</v>
      </c>
      <c r="D1946" s="279">
        <v>45903</v>
      </c>
      <c r="E1946" s="279">
        <v>45906</v>
      </c>
      <c r="F1946" s="132"/>
      <c r="G1946" s="132" t="s">
        <v>5324</v>
      </c>
      <c r="H1946" s="132" t="s">
        <v>373</v>
      </c>
      <c r="I1946" s="132" t="s">
        <v>1100</v>
      </c>
      <c r="J1946" s="132" t="s">
        <v>4623</v>
      </c>
      <c r="K1946" s="132" t="s">
        <v>4672</v>
      </c>
      <c r="L1946" s="132" t="s">
        <v>4673</v>
      </c>
      <c r="M1946" s="132" t="s">
        <v>5338</v>
      </c>
      <c r="N1946" s="132" t="s">
        <v>1105</v>
      </c>
      <c r="O1946" s="132" t="s">
        <v>5339</v>
      </c>
      <c r="P1946" s="132" t="s">
        <v>4923</v>
      </c>
      <c r="Q1946" s="132" t="s">
        <v>1108</v>
      </c>
    </row>
    <row r="1947" spans="1:17" x14ac:dyDescent="0.2">
      <c r="A1947" t="s">
        <v>138</v>
      </c>
      <c r="B1947" s="141">
        <f t="shared" si="31"/>
        <v>3.11</v>
      </c>
      <c r="C1947" s="280">
        <v>45901</v>
      </c>
      <c r="D1947" s="279">
        <v>45903</v>
      </c>
      <c r="E1947" s="279">
        <v>45906</v>
      </c>
      <c r="F1947" s="132"/>
      <c r="G1947" s="132" t="s">
        <v>1108</v>
      </c>
      <c r="H1947" s="132" t="s">
        <v>373</v>
      </c>
      <c r="I1947" s="132" t="s">
        <v>1100</v>
      </c>
      <c r="J1947" s="132" t="s">
        <v>1730</v>
      </c>
      <c r="K1947" s="132" t="s">
        <v>1731</v>
      </c>
      <c r="L1947" s="132" t="s">
        <v>1732</v>
      </c>
      <c r="M1947" s="132" t="s">
        <v>5340</v>
      </c>
      <c r="N1947" s="132" t="s">
        <v>1112</v>
      </c>
      <c r="O1947" s="132" t="s">
        <v>5341</v>
      </c>
      <c r="P1947" s="132" t="s">
        <v>4923</v>
      </c>
      <c r="Q1947" s="132" t="s">
        <v>1108</v>
      </c>
    </row>
    <row r="1948" spans="1:17" x14ac:dyDescent="0.2">
      <c r="A1948" t="s">
        <v>81</v>
      </c>
      <c r="B1948" s="141">
        <f t="shared" si="31"/>
        <v>58.2</v>
      </c>
      <c r="C1948" s="280">
        <v>45901</v>
      </c>
      <c r="D1948" s="279">
        <v>45903</v>
      </c>
      <c r="E1948" s="279">
        <v>45906</v>
      </c>
      <c r="F1948" s="132"/>
      <c r="G1948" s="132" t="s">
        <v>1108</v>
      </c>
      <c r="H1948" s="132" t="s">
        <v>373</v>
      </c>
      <c r="I1948" s="132" t="s">
        <v>1100</v>
      </c>
      <c r="J1948" s="132" t="s">
        <v>4623</v>
      </c>
      <c r="K1948" s="132" t="s">
        <v>4624</v>
      </c>
      <c r="L1948" s="132" t="s">
        <v>4625</v>
      </c>
      <c r="M1948" s="132" t="s">
        <v>5342</v>
      </c>
      <c r="N1948" s="132" t="s">
        <v>1112</v>
      </c>
      <c r="O1948" s="132" t="s">
        <v>5343</v>
      </c>
      <c r="P1948" s="132" t="s">
        <v>4923</v>
      </c>
      <c r="Q1948" s="132" t="s">
        <v>1108</v>
      </c>
    </row>
    <row r="1949" spans="1:17" x14ac:dyDescent="0.2">
      <c r="A1949" t="s">
        <v>81</v>
      </c>
      <c r="B1949" s="141">
        <f t="shared" si="31"/>
        <v>58.56</v>
      </c>
      <c r="C1949" s="280">
        <v>45901</v>
      </c>
      <c r="D1949" s="279">
        <v>45903</v>
      </c>
      <c r="E1949" s="279">
        <v>45906</v>
      </c>
      <c r="F1949" s="132"/>
      <c r="G1949" s="132" t="s">
        <v>4696</v>
      </c>
      <c r="H1949" s="132" t="s">
        <v>373</v>
      </c>
      <c r="I1949" s="132" t="s">
        <v>1100</v>
      </c>
      <c r="J1949" s="132" t="s">
        <v>4623</v>
      </c>
      <c r="K1949" s="132" t="s">
        <v>4672</v>
      </c>
      <c r="L1949" s="132" t="s">
        <v>4673</v>
      </c>
      <c r="M1949" s="132" t="s">
        <v>5344</v>
      </c>
      <c r="N1949" s="132" t="s">
        <v>1105</v>
      </c>
      <c r="O1949" s="132" t="s">
        <v>5345</v>
      </c>
      <c r="P1949" s="132" t="s">
        <v>4923</v>
      </c>
      <c r="Q1949" s="132" t="s">
        <v>1108</v>
      </c>
    </row>
    <row r="1950" spans="1:17" x14ac:dyDescent="0.2">
      <c r="A1950" t="s">
        <v>81</v>
      </c>
      <c r="B1950" s="141">
        <f t="shared" si="31"/>
        <v>58.56</v>
      </c>
      <c r="C1950" s="280">
        <v>45901</v>
      </c>
      <c r="D1950" s="279">
        <v>45903</v>
      </c>
      <c r="E1950" s="279">
        <v>45906</v>
      </c>
      <c r="F1950" s="132"/>
      <c r="G1950" s="132" t="s">
        <v>5346</v>
      </c>
      <c r="H1950" s="132" t="s">
        <v>373</v>
      </c>
      <c r="I1950" s="132" t="s">
        <v>1100</v>
      </c>
      <c r="J1950" s="132" t="s">
        <v>4623</v>
      </c>
      <c r="K1950" s="132" t="s">
        <v>4672</v>
      </c>
      <c r="L1950" s="132" t="s">
        <v>4673</v>
      </c>
      <c r="M1950" s="132" t="s">
        <v>5347</v>
      </c>
      <c r="N1950" s="132" t="s">
        <v>1105</v>
      </c>
      <c r="O1950" s="132" t="s">
        <v>5348</v>
      </c>
      <c r="P1950" s="132" t="s">
        <v>4923</v>
      </c>
      <c r="Q1950" s="132" t="s">
        <v>1108</v>
      </c>
    </row>
    <row r="1951" spans="1:17" x14ac:dyDescent="0.2">
      <c r="A1951" t="s">
        <v>138</v>
      </c>
      <c r="B1951" s="141">
        <f t="shared" si="31"/>
        <v>3.13</v>
      </c>
      <c r="C1951" s="280">
        <v>45901</v>
      </c>
      <c r="D1951" s="279">
        <v>45903</v>
      </c>
      <c r="E1951" s="279">
        <v>45906</v>
      </c>
      <c r="F1951" s="132"/>
      <c r="G1951" s="132" t="s">
        <v>1108</v>
      </c>
      <c r="H1951" s="132" t="s">
        <v>373</v>
      </c>
      <c r="I1951" s="132" t="s">
        <v>1100</v>
      </c>
      <c r="J1951" s="132" t="s">
        <v>1730</v>
      </c>
      <c r="K1951" s="132" t="s">
        <v>1742</v>
      </c>
      <c r="L1951" s="132" t="s">
        <v>1743</v>
      </c>
      <c r="M1951" s="132" t="s">
        <v>5349</v>
      </c>
      <c r="N1951" s="132" t="s">
        <v>1117</v>
      </c>
      <c r="O1951" s="132" t="s">
        <v>5350</v>
      </c>
      <c r="P1951" s="132" t="s">
        <v>4923</v>
      </c>
      <c r="Q1951" s="132" t="s">
        <v>1108</v>
      </c>
    </row>
    <row r="1952" spans="1:17" x14ac:dyDescent="0.2">
      <c r="A1952" t="s">
        <v>81</v>
      </c>
      <c r="B1952" s="141">
        <f t="shared" si="31"/>
        <v>58.2</v>
      </c>
      <c r="C1952" s="280">
        <v>45901</v>
      </c>
      <c r="D1952" s="279">
        <v>45903</v>
      </c>
      <c r="E1952" s="279">
        <v>45906</v>
      </c>
      <c r="F1952" s="132"/>
      <c r="G1952" s="132" t="s">
        <v>1108</v>
      </c>
      <c r="H1952" s="132" t="s">
        <v>373</v>
      </c>
      <c r="I1952" s="132" t="s">
        <v>1100</v>
      </c>
      <c r="J1952" s="132" t="s">
        <v>4623</v>
      </c>
      <c r="K1952" s="132" t="s">
        <v>4624</v>
      </c>
      <c r="L1952" s="132" t="s">
        <v>4625</v>
      </c>
      <c r="M1952" s="132" t="s">
        <v>5351</v>
      </c>
      <c r="N1952" s="132" t="s">
        <v>1112</v>
      </c>
      <c r="O1952" s="132" t="s">
        <v>5352</v>
      </c>
      <c r="P1952" s="132" t="s">
        <v>4923</v>
      </c>
      <c r="Q1952" s="132" t="s">
        <v>1108</v>
      </c>
    </row>
    <row r="1953" spans="1:17" x14ac:dyDescent="0.2">
      <c r="A1953" t="s">
        <v>81</v>
      </c>
      <c r="B1953" s="141">
        <f t="shared" si="31"/>
        <v>58.56</v>
      </c>
      <c r="C1953" s="280">
        <v>45901</v>
      </c>
      <c r="D1953" s="279">
        <v>45903</v>
      </c>
      <c r="E1953" s="279">
        <v>45906</v>
      </c>
      <c r="F1953" s="132"/>
      <c r="G1953" s="132" t="s">
        <v>5353</v>
      </c>
      <c r="H1953" s="132" t="s">
        <v>373</v>
      </c>
      <c r="I1953" s="132" t="s">
        <v>1100</v>
      </c>
      <c r="J1953" s="132" t="s">
        <v>4623</v>
      </c>
      <c r="K1953" s="132" t="s">
        <v>4672</v>
      </c>
      <c r="L1953" s="132" t="s">
        <v>4673</v>
      </c>
      <c r="M1953" s="132" t="s">
        <v>5354</v>
      </c>
      <c r="N1953" s="132" t="s">
        <v>1105</v>
      </c>
      <c r="O1953" s="132" t="s">
        <v>5355</v>
      </c>
      <c r="P1953" s="132" t="s">
        <v>4923</v>
      </c>
      <c r="Q1953" s="132" t="s">
        <v>1108</v>
      </c>
    </row>
    <row r="1954" spans="1:17" x14ac:dyDescent="0.2">
      <c r="A1954" t="s">
        <v>81</v>
      </c>
      <c r="B1954" s="141">
        <f t="shared" si="31"/>
        <v>58.2</v>
      </c>
      <c r="C1954" s="280">
        <v>45901</v>
      </c>
      <c r="D1954" s="279">
        <v>45903</v>
      </c>
      <c r="E1954" s="279">
        <v>45906</v>
      </c>
      <c r="F1954" s="132"/>
      <c r="G1954" s="132" t="s">
        <v>1108</v>
      </c>
      <c r="H1954" s="132" t="s">
        <v>373</v>
      </c>
      <c r="I1954" s="132" t="s">
        <v>1100</v>
      </c>
      <c r="J1954" s="132" t="s">
        <v>4623</v>
      </c>
      <c r="K1954" s="132" t="s">
        <v>4624</v>
      </c>
      <c r="L1954" s="132" t="s">
        <v>4625</v>
      </c>
      <c r="M1954" s="132" t="s">
        <v>5356</v>
      </c>
      <c r="N1954" s="132" t="s">
        <v>1112</v>
      </c>
      <c r="O1954" s="132" t="s">
        <v>5357</v>
      </c>
      <c r="P1954" s="132" t="s">
        <v>4923</v>
      </c>
      <c r="Q1954" s="132" t="s">
        <v>1108</v>
      </c>
    </row>
    <row r="1955" spans="1:17" x14ac:dyDescent="0.2">
      <c r="A1955" t="s">
        <v>81</v>
      </c>
      <c r="B1955" s="141">
        <f t="shared" si="31"/>
        <v>58.2</v>
      </c>
      <c r="C1955" s="280">
        <v>45901</v>
      </c>
      <c r="D1955" s="279">
        <v>45903</v>
      </c>
      <c r="E1955" s="279">
        <v>45906</v>
      </c>
      <c r="F1955" s="132"/>
      <c r="G1955" s="132" t="s">
        <v>1108</v>
      </c>
      <c r="H1955" s="132" t="s">
        <v>373</v>
      </c>
      <c r="I1955" s="132" t="s">
        <v>1100</v>
      </c>
      <c r="J1955" s="132" t="s">
        <v>4623</v>
      </c>
      <c r="K1955" s="132" t="s">
        <v>4624</v>
      </c>
      <c r="L1955" s="132" t="s">
        <v>4625</v>
      </c>
      <c r="M1955" s="132" t="s">
        <v>5358</v>
      </c>
      <c r="N1955" s="132" t="s">
        <v>1112</v>
      </c>
      <c r="O1955" s="132" t="s">
        <v>5359</v>
      </c>
      <c r="P1955" s="132" t="s">
        <v>4923</v>
      </c>
      <c r="Q1955" s="132" t="s">
        <v>1108</v>
      </c>
    </row>
    <row r="1956" spans="1:17" x14ac:dyDescent="0.2">
      <c r="A1956" t="s">
        <v>81</v>
      </c>
      <c r="B1956" s="141">
        <f t="shared" si="31"/>
        <v>58.2</v>
      </c>
      <c r="C1956" s="280">
        <v>45901</v>
      </c>
      <c r="D1956" s="279">
        <v>45903</v>
      </c>
      <c r="E1956" s="279">
        <v>45906</v>
      </c>
      <c r="F1956" s="132"/>
      <c r="G1956" s="132" t="s">
        <v>1108</v>
      </c>
      <c r="H1956" s="132" t="s">
        <v>373</v>
      </c>
      <c r="I1956" s="132" t="s">
        <v>1100</v>
      </c>
      <c r="J1956" s="132" t="s">
        <v>4623</v>
      </c>
      <c r="K1956" s="132" t="s">
        <v>4624</v>
      </c>
      <c r="L1956" s="132" t="s">
        <v>4625</v>
      </c>
      <c r="M1956" s="132" t="s">
        <v>5360</v>
      </c>
      <c r="N1956" s="132" t="s">
        <v>1112</v>
      </c>
      <c r="O1956" s="132" t="s">
        <v>5361</v>
      </c>
      <c r="P1956" s="132" t="s">
        <v>4923</v>
      </c>
      <c r="Q1956" s="132" t="s">
        <v>1108</v>
      </c>
    </row>
    <row r="1957" spans="1:17" x14ac:dyDescent="0.2">
      <c r="A1957" t="s">
        <v>81</v>
      </c>
      <c r="B1957" s="141">
        <f t="shared" si="31"/>
        <v>58.56</v>
      </c>
      <c r="C1957" s="280">
        <v>45901</v>
      </c>
      <c r="D1957" s="279">
        <v>45903</v>
      </c>
      <c r="E1957" s="279">
        <v>45906</v>
      </c>
      <c r="F1957" s="132"/>
      <c r="G1957" s="132" t="s">
        <v>5362</v>
      </c>
      <c r="H1957" s="132" t="s">
        <v>373</v>
      </c>
      <c r="I1957" s="132" t="s">
        <v>1100</v>
      </c>
      <c r="J1957" s="132" t="s">
        <v>4623</v>
      </c>
      <c r="K1957" s="132" t="s">
        <v>4672</v>
      </c>
      <c r="L1957" s="132" t="s">
        <v>4673</v>
      </c>
      <c r="M1957" s="132" t="s">
        <v>5363</v>
      </c>
      <c r="N1957" s="132" t="s">
        <v>1105</v>
      </c>
      <c r="O1957" s="132" t="s">
        <v>5364</v>
      </c>
      <c r="P1957" s="132" t="s">
        <v>4923</v>
      </c>
      <c r="Q1957" s="132" t="s">
        <v>1108</v>
      </c>
    </row>
    <row r="1958" spans="1:17" x14ac:dyDescent="0.2">
      <c r="A1958" t="s">
        <v>138</v>
      </c>
      <c r="B1958" s="141">
        <f t="shared" si="31"/>
        <v>3.11</v>
      </c>
      <c r="C1958" s="280">
        <v>45901</v>
      </c>
      <c r="D1958" s="279">
        <v>45903</v>
      </c>
      <c r="E1958" s="279">
        <v>45906</v>
      </c>
      <c r="F1958" s="132"/>
      <c r="G1958" s="132" t="s">
        <v>1108</v>
      </c>
      <c r="H1958" s="132" t="s">
        <v>373</v>
      </c>
      <c r="I1958" s="132" t="s">
        <v>1100</v>
      </c>
      <c r="J1958" s="132" t="s">
        <v>1730</v>
      </c>
      <c r="K1958" s="132" t="s">
        <v>1731</v>
      </c>
      <c r="L1958" s="132" t="s">
        <v>1732</v>
      </c>
      <c r="M1958" s="132" t="s">
        <v>5365</v>
      </c>
      <c r="N1958" s="132" t="s">
        <v>1112</v>
      </c>
      <c r="O1958" s="132" t="s">
        <v>5366</v>
      </c>
      <c r="P1958" s="132" t="s">
        <v>4923</v>
      </c>
      <c r="Q1958" s="132" t="s">
        <v>1108</v>
      </c>
    </row>
    <row r="1959" spans="1:17" x14ac:dyDescent="0.2">
      <c r="A1959" t="s">
        <v>138</v>
      </c>
      <c r="B1959" s="141">
        <f t="shared" si="31"/>
        <v>3.11</v>
      </c>
      <c r="C1959" s="280">
        <v>45901</v>
      </c>
      <c r="D1959" s="279">
        <v>45903</v>
      </c>
      <c r="E1959" s="279">
        <v>45906</v>
      </c>
      <c r="F1959" s="132"/>
      <c r="G1959" s="132" t="s">
        <v>1108</v>
      </c>
      <c r="H1959" s="132" t="s">
        <v>373</v>
      </c>
      <c r="I1959" s="132" t="s">
        <v>1100</v>
      </c>
      <c r="J1959" s="132" t="s">
        <v>1730</v>
      </c>
      <c r="K1959" s="132" t="s">
        <v>1731</v>
      </c>
      <c r="L1959" s="132" t="s">
        <v>1732</v>
      </c>
      <c r="M1959" s="132" t="s">
        <v>5367</v>
      </c>
      <c r="N1959" s="132" t="s">
        <v>1112</v>
      </c>
      <c r="O1959" s="132" t="s">
        <v>5368</v>
      </c>
      <c r="P1959" s="132" t="s">
        <v>4923</v>
      </c>
      <c r="Q1959" s="132" t="s">
        <v>1108</v>
      </c>
    </row>
    <row r="1960" spans="1:17" x14ac:dyDescent="0.2">
      <c r="A1960" t="s">
        <v>81</v>
      </c>
      <c r="B1960" s="141">
        <f t="shared" si="31"/>
        <v>58.56</v>
      </c>
      <c r="C1960" s="280">
        <v>45901</v>
      </c>
      <c r="D1960" s="279">
        <v>45902</v>
      </c>
      <c r="E1960" s="279">
        <v>45906</v>
      </c>
      <c r="F1960" s="132"/>
      <c r="G1960" s="132" t="s">
        <v>4847</v>
      </c>
      <c r="H1960" s="132" t="s">
        <v>373</v>
      </c>
      <c r="I1960" s="132" t="s">
        <v>1100</v>
      </c>
      <c r="J1960" s="132" t="s">
        <v>4623</v>
      </c>
      <c r="K1960" s="132" t="s">
        <v>4672</v>
      </c>
      <c r="L1960" s="132" t="s">
        <v>4673</v>
      </c>
      <c r="M1960" s="132" t="s">
        <v>5369</v>
      </c>
      <c r="N1960" s="132" t="s">
        <v>1105</v>
      </c>
      <c r="O1960" s="132" t="s">
        <v>5370</v>
      </c>
      <c r="P1960" s="132" t="s">
        <v>4923</v>
      </c>
      <c r="Q1960" s="132" t="s">
        <v>1108</v>
      </c>
    </row>
    <row r="1961" spans="1:17" x14ac:dyDescent="0.2">
      <c r="A1961" t="s">
        <v>138</v>
      </c>
      <c r="B1961" s="141">
        <f t="shared" si="31"/>
        <v>3.13</v>
      </c>
      <c r="C1961" s="280">
        <v>45901</v>
      </c>
      <c r="D1961" s="279">
        <v>45902</v>
      </c>
      <c r="E1961" s="279">
        <v>45906</v>
      </c>
      <c r="F1961" s="132"/>
      <c r="G1961" s="132" t="s">
        <v>4658</v>
      </c>
      <c r="H1961" s="132" t="s">
        <v>373</v>
      </c>
      <c r="I1961" s="132" t="s">
        <v>1100</v>
      </c>
      <c r="J1961" s="132" t="s">
        <v>1730</v>
      </c>
      <c r="K1961" s="132" t="s">
        <v>1742</v>
      </c>
      <c r="L1961" s="132" t="s">
        <v>1743</v>
      </c>
      <c r="M1961" s="132" t="s">
        <v>5371</v>
      </c>
      <c r="N1961" s="132" t="s">
        <v>1105</v>
      </c>
      <c r="O1961" s="132" t="s">
        <v>5372</v>
      </c>
      <c r="P1961" s="132" t="s">
        <v>4923</v>
      </c>
      <c r="Q1961" s="132" t="s">
        <v>1108</v>
      </c>
    </row>
    <row r="1962" spans="1:17" x14ac:dyDescent="0.2">
      <c r="A1962" t="s">
        <v>81</v>
      </c>
      <c r="B1962" s="141">
        <f t="shared" si="31"/>
        <v>58.56</v>
      </c>
      <c r="C1962" s="280">
        <v>45902</v>
      </c>
      <c r="D1962" s="279">
        <v>45904</v>
      </c>
      <c r="E1962" s="279">
        <v>45906</v>
      </c>
      <c r="F1962" s="132"/>
      <c r="G1962" s="132" t="s">
        <v>5373</v>
      </c>
      <c r="H1962" s="132" t="s">
        <v>373</v>
      </c>
      <c r="I1962" s="132" t="s">
        <v>1100</v>
      </c>
      <c r="J1962" s="132" t="s">
        <v>4623</v>
      </c>
      <c r="K1962" s="132" t="s">
        <v>4672</v>
      </c>
      <c r="L1962" s="132" t="s">
        <v>4673</v>
      </c>
      <c r="M1962" s="132" t="s">
        <v>5374</v>
      </c>
      <c r="N1962" s="132" t="s">
        <v>1105</v>
      </c>
      <c r="O1962" s="132" t="s">
        <v>5375</v>
      </c>
      <c r="P1962" s="132" t="s">
        <v>4923</v>
      </c>
      <c r="Q1962" s="132" t="s">
        <v>1108</v>
      </c>
    </row>
    <row r="1963" spans="1:17" x14ac:dyDescent="0.2">
      <c r="A1963" t="s">
        <v>81</v>
      </c>
      <c r="B1963" s="141">
        <f t="shared" si="31"/>
        <v>58.56</v>
      </c>
      <c r="C1963" s="280">
        <v>45902</v>
      </c>
      <c r="D1963" s="279">
        <v>45904</v>
      </c>
      <c r="E1963" s="279">
        <v>45906</v>
      </c>
      <c r="F1963" s="132"/>
      <c r="G1963" s="132" t="s">
        <v>5376</v>
      </c>
      <c r="H1963" s="132" t="s">
        <v>373</v>
      </c>
      <c r="I1963" s="132" t="s">
        <v>1100</v>
      </c>
      <c r="J1963" s="132" t="s">
        <v>4623</v>
      </c>
      <c r="K1963" s="132" t="s">
        <v>4672</v>
      </c>
      <c r="L1963" s="132" t="s">
        <v>4673</v>
      </c>
      <c r="M1963" s="132" t="s">
        <v>5377</v>
      </c>
      <c r="N1963" s="132" t="s">
        <v>1105</v>
      </c>
      <c r="O1963" s="132" t="s">
        <v>5378</v>
      </c>
      <c r="P1963" s="132" t="s">
        <v>4923</v>
      </c>
      <c r="Q1963" s="132" t="s">
        <v>1108</v>
      </c>
    </row>
    <row r="1964" spans="1:17" x14ac:dyDescent="0.2">
      <c r="A1964" t="s">
        <v>81</v>
      </c>
      <c r="B1964" s="141">
        <f t="shared" si="31"/>
        <v>58.56</v>
      </c>
      <c r="C1964" s="280">
        <v>45902</v>
      </c>
      <c r="D1964" s="279">
        <v>45904</v>
      </c>
      <c r="E1964" s="279">
        <v>45906</v>
      </c>
      <c r="F1964" s="132"/>
      <c r="G1964" s="132" t="s">
        <v>4883</v>
      </c>
      <c r="H1964" s="132" t="s">
        <v>373</v>
      </c>
      <c r="I1964" s="132" t="s">
        <v>1100</v>
      </c>
      <c r="J1964" s="132" t="s">
        <v>4623</v>
      </c>
      <c r="K1964" s="132" t="s">
        <v>4672</v>
      </c>
      <c r="L1964" s="132" t="s">
        <v>4673</v>
      </c>
      <c r="M1964" s="132" t="s">
        <v>5379</v>
      </c>
      <c r="N1964" s="132" t="s">
        <v>1105</v>
      </c>
      <c r="O1964" s="132" t="s">
        <v>5380</v>
      </c>
      <c r="P1964" s="132" t="s">
        <v>4923</v>
      </c>
      <c r="Q1964" s="132" t="s">
        <v>1108</v>
      </c>
    </row>
    <row r="1965" spans="1:17" x14ac:dyDescent="0.2">
      <c r="A1965" t="s">
        <v>138</v>
      </c>
      <c r="B1965" s="141">
        <f t="shared" si="31"/>
        <v>3.11</v>
      </c>
      <c r="C1965" s="280">
        <v>45902</v>
      </c>
      <c r="D1965" s="279">
        <v>45904</v>
      </c>
      <c r="E1965" s="279">
        <v>45906</v>
      </c>
      <c r="F1965" s="132"/>
      <c r="G1965" s="132" t="s">
        <v>1108</v>
      </c>
      <c r="H1965" s="132" t="s">
        <v>373</v>
      </c>
      <c r="I1965" s="132" t="s">
        <v>1100</v>
      </c>
      <c r="J1965" s="132" t="s">
        <v>1730</v>
      </c>
      <c r="K1965" s="132" t="s">
        <v>1731</v>
      </c>
      <c r="L1965" s="132" t="s">
        <v>1732</v>
      </c>
      <c r="M1965" s="132" t="s">
        <v>5381</v>
      </c>
      <c r="N1965" s="132" t="s">
        <v>1112</v>
      </c>
      <c r="O1965" s="132" t="s">
        <v>5382</v>
      </c>
      <c r="P1965" s="132" t="s">
        <v>4923</v>
      </c>
      <c r="Q1965" s="132" t="s">
        <v>1108</v>
      </c>
    </row>
    <row r="1966" spans="1:17" x14ac:dyDescent="0.2">
      <c r="A1966" t="s">
        <v>139</v>
      </c>
      <c r="B1966" s="141">
        <f t="shared" ref="B1966:B2029" si="32">_xlfn.NUMBERVALUE(L1966)*0.01</f>
        <v>4.57</v>
      </c>
      <c r="C1966" s="280">
        <v>45902</v>
      </c>
      <c r="D1966" s="279">
        <v>45904</v>
      </c>
      <c r="E1966" s="279">
        <v>45906</v>
      </c>
      <c r="F1966" s="132"/>
      <c r="G1966" s="132" t="s">
        <v>1108</v>
      </c>
      <c r="H1966" s="132" t="s">
        <v>373</v>
      </c>
      <c r="I1966" s="132" t="s">
        <v>1100</v>
      </c>
      <c r="J1966" s="132" t="s">
        <v>2671</v>
      </c>
      <c r="K1966" s="132" t="s">
        <v>1927</v>
      </c>
      <c r="L1966" s="132" t="s">
        <v>2740</v>
      </c>
      <c r="M1966" s="132" t="s">
        <v>5383</v>
      </c>
      <c r="N1966" s="132" t="s">
        <v>1112</v>
      </c>
      <c r="O1966" s="132" t="s">
        <v>5384</v>
      </c>
      <c r="P1966" s="132" t="s">
        <v>4923</v>
      </c>
      <c r="Q1966" s="132" t="s">
        <v>1108</v>
      </c>
    </row>
    <row r="1967" spans="1:17" x14ac:dyDescent="0.2">
      <c r="A1967" t="s">
        <v>138</v>
      </c>
      <c r="B1967" s="141">
        <f t="shared" si="32"/>
        <v>3.13</v>
      </c>
      <c r="C1967" s="280">
        <v>45902</v>
      </c>
      <c r="D1967" s="279">
        <v>45904</v>
      </c>
      <c r="E1967" s="279">
        <v>45906</v>
      </c>
      <c r="F1967" s="132"/>
      <c r="G1967" s="132" t="s">
        <v>4778</v>
      </c>
      <c r="H1967" s="132" t="s">
        <v>373</v>
      </c>
      <c r="I1967" s="132" t="s">
        <v>1100</v>
      </c>
      <c r="J1967" s="132" t="s">
        <v>1730</v>
      </c>
      <c r="K1967" s="132" t="s">
        <v>1742</v>
      </c>
      <c r="L1967" s="132" t="s">
        <v>1743</v>
      </c>
      <c r="M1967" s="132" t="s">
        <v>5385</v>
      </c>
      <c r="N1967" s="132" t="s">
        <v>1105</v>
      </c>
      <c r="O1967" s="132" t="s">
        <v>5386</v>
      </c>
      <c r="P1967" s="132" t="s">
        <v>4923</v>
      </c>
      <c r="Q1967" s="132" t="s">
        <v>1108</v>
      </c>
    </row>
    <row r="1968" spans="1:17" x14ac:dyDescent="0.2">
      <c r="A1968" t="s">
        <v>81</v>
      </c>
      <c r="B1968" s="141">
        <f t="shared" si="32"/>
        <v>58.2</v>
      </c>
      <c r="C1968" s="280">
        <v>45902</v>
      </c>
      <c r="D1968" s="279">
        <v>45904</v>
      </c>
      <c r="E1968" s="279">
        <v>45906</v>
      </c>
      <c r="F1968" s="132"/>
      <c r="G1968" s="132" t="s">
        <v>1108</v>
      </c>
      <c r="H1968" s="132" t="s">
        <v>373</v>
      </c>
      <c r="I1968" s="132" t="s">
        <v>1100</v>
      </c>
      <c r="J1968" s="132" t="s">
        <v>4623</v>
      </c>
      <c r="K1968" s="132" t="s">
        <v>4624</v>
      </c>
      <c r="L1968" s="132" t="s">
        <v>4625</v>
      </c>
      <c r="M1968" s="132" t="s">
        <v>5387</v>
      </c>
      <c r="N1968" s="132" t="s">
        <v>1112</v>
      </c>
      <c r="O1968" s="132" t="s">
        <v>5388</v>
      </c>
      <c r="P1968" s="132" t="s">
        <v>4923</v>
      </c>
      <c r="Q1968" s="132" t="s">
        <v>1108</v>
      </c>
    </row>
    <row r="1969" spans="1:17" x14ac:dyDescent="0.2">
      <c r="A1969" t="s">
        <v>81</v>
      </c>
      <c r="B1969" s="141">
        <f t="shared" si="32"/>
        <v>58.56</v>
      </c>
      <c r="C1969" s="280">
        <v>45902</v>
      </c>
      <c r="D1969" s="279">
        <v>45904</v>
      </c>
      <c r="E1969" s="279">
        <v>45906</v>
      </c>
      <c r="F1969" s="132"/>
      <c r="G1969" s="132" t="s">
        <v>4839</v>
      </c>
      <c r="H1969" s="132" t="s">
        <v>373</v>
      </c>
      <c r="I1969" s="132" t="s">
        <v>1100</v>
      </c>
      <c r="J1969" s="132" t="s">
        <v>4623</v>
      </c>
      <c r="K1969" s="132" t="s">
        <v>4672</v>
      </c>
      <c r="L1969" s="132" t="s">
        <v>4673</v>
      </c>
      <c r="M1969" s="132" t="s">
        <v>5389</v>
      </c>
      <c r="N1969" s="132" t="s">
        <v>1105</v>
      </c>
      <c r="O1969" s="132" t="s">
        <v>5390</v>
      </c>
      <c r="P1969" s="132" t="s">
        <v>4923</v>
      </c>
      <c r="Q1969" s="132" t="s">
        <v>1108</v>
      </c>
    </row>
    <row r="1970" spans="1:17" x14ac:dyDescent="0.2">
      <c r="A1970" t="s">
        <v>81</v>
      </c>
      <c r="B1970" s="141">
        <f t="shared" si="32"/>
        <v>58.56</v>
      </c>
      <c r="C1970" s="280">
        <v>45902</v>
      </c>
      <c r="D1970" s="279">
        <v>45904</v>
      </c>
      <c r="E1970" s="279">
        <v>45906</v>
      </c>
      <c r="F1970" s="132"/>
      <c r="G1970" s="132" t="s">
        <v>5391</v>
      </c>
      <c r="H1970" s="132" t="s">
        <v>373</v>
      </c>
      <c r="I1970" s="132" t="s">
        <v>1100</v>
      </c>
      <c r="J1970" s="132" t="s">
        <v>4623</v>
      </c>
      <c r="K1970" s="132" t="s">
        <v>4672</v>
      </c>
      <c r="L1970" s="132" t="s">
        <v>4673</v>
      </c>
      <c r="M1970" s="132" t="s">
        <v>5392</v>
      </c>
      <c r="N1970" s="132" t="s">
        <v>1105</v>
      </c>
      <c r="O1970" s="132" t="s">
        <v>5393</v>
      </c>
      <c r="P1970" s="132" t="s">
        <v>4923</v>
      </c>
      <c r="Q1970" s="132" t="s">
        <v>1108</v>
      </c>
    </row>
    <row r="1971" spans="1:17" x14ac:dyDescent="0.2">
      <c r="A1971" t="s">
        <v>81</v>
      </c>
      <c r="B1971" s="141">
        <f t="shared" si="32"/>
        <v>58.56</v>
      </c>
      <c r="C1971" s="280">
        <v>45902</v>
      </c>
      <c r="D1971" s="279">
        <v>45904</v>
      </c>
      <c r="E1971" s="279">
        <v>45906</v>
      </c>
      <c r="F1971" s="132"/>
      <c r="G1971" s="132" t="s">
        <v>4885</v>
      </c>
      <c r="H1971" s="132" t="s">
        <v>373</v>
      </c>
      <c r="I1971" s="132" t="s">
        <v>1100</v>
      </c>
      <c r="J1971" s="132" t="s">
        <v>4623</v>
      </c>
      <c r="K1971" s="132" t="s">
        <v>4672</v>
      </c>
      <c r="L1971" s="132" t="s">
        <v>4673</v>
      </c>
      <c r="M1971" s="132" t="s">
        <v>5394</v>
      </c>
      <c r="N1971" s="132" t="s">
        <v>1105</v>
      </c>
      <c r="O1971" s="132" t="s">
        <v>5395</v>
      </c>
      <c r="P1971" s="132" t="s">
        <v>4923</v>
      </c>
      <c r="Q1971" s="132" t="s">
        <v>1108</v>
      </c>
    </row>
    <row r="1972" spans="1:17" x14ac:dyDescent="0.2">
      <c r="A1972" t="s">
        <v>81</v>
      </c>
      <c r="B1972" s="141">
        <f t="shared" si="32"/>
        <v>22.26</v>
      </c>
      <c r="C1972" s="280">
        <v>45902</v>
      </c>
      <c r="D1972" s="279">
        <v>45904</v>
      </c>
      <c r="E1972" s="279">
        <v>45906</v>
      </c>
      <c r="F1972" s="132"/>
      <c r="G1972" s="132" t="s">
        <v>5396</v>
      </c>
      <c r="H1972" s="132" t="s">
        <v>373</v>
      </c>
      <c r="I1972" s="132" t="s">
        <v>1100</v>
      </c>
      <c r="J1972" s="132" t="s">
        <v>2909</v>
      </c>
      <c r="K1972" s="132" t="s">
        <v>2910</v>
      </c>
      <c r="L1972" s="132" t="s">
        <v>2911</v>
      </c>
      <c r="M1972" s="132" t="s">
        <v>5397</v>
      </c>
      <c r="N1972" s="132" t="s">
        <v>1105</v>
      </c>
      <c r="O1972" s="132" t="s">
        <v>5398</v>
      </c>
      <c r="P1972" s="132" t="s">
        <v>4923</v>
      </c>
      <c r="Q1972" s="132" t="s">
        <v>1108</v>
      </c>
    </row>
    <row r="1973" spans="1:17" x14ac:dyDescent="0.2">
      <c r="A1973" t="s">
        <v>81</v>
      </c>
      <c r="B1973" s="141">
        <f t="shared" si="32"/>
        <v>58.2</v>
      </c>
      <c r="C1973" s="280">
        <v>45902</v>
      </c>
      <c r="D1973" s="279">
        <v>45904</v>
      </c>
      <c r="E1973" s="279">
        <v>45906</v>
      </c>
      <c r="F1973" s="132"/>
      <c r="G1973" s="132" t="s">
        <v>1108</v>
      </c>
      <c r="H1973" s="132" t="s">
        <v>373</v>
      </c>
      <c r="I1973" s="132" t="s">
        <v>1100</v>
      </c>
      <c r="J1973" s="132" t="s">
        <v>4623</v>
      </c>
      <c r="K1973" s="132" t="s">
        <v>4624</v>
      </c>
      <c r="L1973" s="132" t="s">
        <v>4625</v>
      </c>
      <c r="M1973" s="132" t="s">
        <v>5399</v>
      </c>
      <c r="N1973" s="132" t="s">
        <v>1112</v>
      </c>
      <c r="O1973" s="132" t="s">
        <v>5400</v>
      </c>
      <c r="P1973" s="132" t="s">
        <v>4923</v>
      </c>
      <c r="Q1973" s="132" t="s">
        <v>1108</v>
      </c>
    </row>
    <row r="1974" spans="1:17" x14ac:dyDescent="0.2">
      <c r="A1974" t="s">
        <v>139</v>
      </c>
      <c r="B1974" s="141">
        <f t="shared" si="32"/>
        <v>4.6000000000000005</v>
      </c>
      <c r="C1974" s="280">
        <v>45902</v>
      </c>
      <c r="D1974" s="279">
        <v>45904</v>
      </c>
      <c r="E1974" s="279">
        <v>45906</v>
      </c>
      <c r="F1974" s="132"/>
      <c r="G1974" s="132" t="s">
        <v>1108</v>
      </c>
      <c r="H1974" s="132" t="s">
        <v>373</v>
      </c>
      <c r="I1974" s="132" t="s">
        <v>1100</v>
      </c>
      <c r="J1974" s="132" t="s">
        <v>2671</v>
      </c>
      <c r="K1974" s="132" t="s">
        <v>2672</v>
      </c>
      <c r="L1974" s="132" t="s">
        <v>2673</v>
      </c>
      <c r="M1974" s="132" t="s">
        <v>5401</v>
      </c>
      <c r="N1974" s="132" t="s">
        <v>1117</v>
      </c>
      <c r="O1974" s="132" t="s">
        <v>5402</v>
      </c>
      <c r="P1974" s="132" t="s">
        <v>4923</v>
      </c>
      <c r="Q1974" s="132" t="s">
        <v>1108</v>
      </c>
    </row>
    <row r="1975" spans="1:17" x14ac:dyDescent="0.2">
      <c r="A1975" t="s">
        <v>138</v>
      </c>
      <c r="B1975" s="141">
        <f t="shared" si="32"/>
        <v>3.11</v>
      </c>
      <c r="C1975" s="280">
        <v>45902</v>
      </c>
      <c r="D1975" s="279">
        <v>45904</v>
      </c>
      <c r="E1975" s="279">
        <v>45906</v>
      </c>
      <c r="F1975" s="132"/>
      <c r="G1975" s="132" t="s">
        <v>1108</v>
      </c>
      <c r="H1975" s="132" t="s">
        <v>373</v>
      </c>
      <c r="I1975" s="132" t="s">
        <v>1100</v>
      </c>
      <c r="J1975" s="132" t="s">
        <v>1730</v>
      </c>
      <c r="K1975" s="132" t="s">
        <v>1731</v>
      </c>
      <c r="L1975" s="132" t="s">
        <v>1732</v>
      </c>
      <c r="M1975" s="132" t="s">
        <v>5403</v>
      </c>
      <c r="N1975" s="132" t="s">
        <v>1112</v>
      </c>
      <c r="O1975" s="132" t="s">
        <v>5404</v>
      </c>
      <c r="P1975" s="132" t="s">
        <v>4923</v>
      </c>
      <c r="Q1975" s="132" t="s">
        <v>1108</v>
      </c>
    </row>
    <row r="1976" spans="1:17" x14ac:dyDescent="0.2">
      <c r="A1976" t="s">
        <v>81</v>
      </c>
      <c r="B1976" s="141">
        <f t="shared" si="32"/>
        <v>58.2</v>
      </c>
      <c r="C1976" s="280">
        <v>45902</v>
      </c>
      <c r="D1976" s="279">
        <v>45904</v>
      </c>
      <c r="E1976" s="279">
        <v>45906</v>
      </c>
      <c r="F1976" s="132"/>
      <c r="G1976" s="132" t="s">
        <v>1108</v>
      </c>
      <c r="H1976" s="132" t="s">
        <v>373</v>
      </c>
      <c r="I1976" s="132" t="s">
        <v>1100</v>
      </c>
      <c r="J1976" s="132" t="s">
        <v>4623</v>
      </c>
      <c r="K1976" s="132" t="s">
        <v>4624</v>
      </c>
      <c r="L1976" s="132" t="s">
        <v>4625</v>
      </c>
      <c r="M1976" s="132" t="s">
        <v>5405</v>
      </c>
      <c r="N1976" s="132" t="s">
        <v>1112</v>
      </c>
      <c r="O1976" s="132" t="s">
        <v>5406</v>
      </c>
      <c r="P1976" s="132" t="s">
        <v>4923</v>
      </c>
      <c r="Q1976" s="132" t="s">
        <v>1108</v>
      </c>
    </row>
    <row r="1977" spans="1:17" x14ac:dyDescent="0.2">
      <c r="A1977" t="s">
        <v>138</v>
      </c>
      <c r="B1977" s="141">
        <f t="shared" si="32"/>
        <v>3.13</v>
      </c>
      <c r="C1977" s="280">
        <v>45902</v>
      </c>
      <c r="D1977" s="279">
        <v>45904</v>
      </c>
      <c r="E1977" s="279">
        <v>45906</v>
      </c>
      <c r="F1977" s="132"/>
      <c r="G1977" s="132" t="s">
        <v>5407</v>
      </c>
      <c r="H1977" s="132" t="s">
        <v>373</v>
      </c>
      <c r="I1977" s="132" t="s">
        <v>1100</v>
      </c>
      <c r="J1977" s="132" t="s">
        <v>1730</v>
      </c>
      <c r="K1977" s="132" t="s">
        <v>1742</v>
      </c>
      <c r="L1977" s="132" t="s">
        <v>1743</v>
      </c>
      <c r="M1977" s="132" t="s">
        <v>5408</v>
      </c>
      <c r="N1977" s="132" t="s">
        <v>1105</v>
      </c>
      <c r="O1977" s="132" t="s">
        <v>5409</v>
      </c>
      <c r="P1977" s="132" t="s">
        <v>4923</v>
      </c>
      <c r="Q1977" s="132" t="s">
        <v>1108</v>
      </c>
    </row>
    <row r="1978" spans="1:17" x14ac:dyDescent="0.2">
      <c r="A1978" t="s">
        <v>138</v>
      </c>
      <c r="B1978" s="141">
        <f t="shared" si="32"/>
        <v>3.11</v>
      </c>
      <c r="C1978" s="280">
        <v>45902</v>
      </c>
      <c r="D1978" s="279">
        <v>45904</v>
      </c>
      <c r="E1978" s="279">
        <v>45906</v>
      </c>
      <c r="F1978" s="132"/>
      <c r="G1978" s="132" t="s">
        <v>1108</v>
      </c>
      <c r="H1978" s="132" t="s">
        <v>373</v>
      </c>
      <c r="I1978" s="132" t="s">
        <v>1100</v>
      </c>
      <c r="J1978" s="132" t="s">
        <v>1730</v>
      </c>
      <c r="K1978" s="132" t="s">
        <v>1731</v>
      </c>
      <c r="L1978" s="132" t="s">
        <v>1732</v>
      </c>
      <c r="M1978" s="132" t="s">
        <v>5410</v>
      </c>
      <c r="N1978" s="132" t="s">
        <v>1112</v>
      </c>
      <c r="O1978" s="132" t="s">
        <v>5411</v>
      </c>
      <c r="P1978" s="132" t="s">
        <v>4923</v>
      </c>
      <c r="Q1978" s="132" t="s">
        <v>1108</v>
      </c>
    </row>
    <row r="1979" spans="1:17" x14ac:dyDescent="0.2">
      <c r="A1979" t="s">
        <v>138</v>
      </c>
      <c r="B1979" s="141">
        <f t="shared" si="32"/>
        <v>3.13</v>
      </c>
      <c r="C1979" s="280">
        <v>45902</v>
      </c>
      <c r="D1979" s="279">
        <v>45904</v>
      </c>
      <c r="E1979" s="279">
        <v>45906</v>
      </c>
      <c r="F1979" s="132"/>
      <c r="G1979" s="132" t="s">
        <v>5023</v>
      </c>
      <c r="H1979" s="132" t="s">
        <v>373</v>
      </c>
      <c r="I1979" s="132" t="s">
        <v>1100</v>
      </c>
      <c r="J1979" s="132" t="s">
        <v>1730</v>
      </c>
      <c r="K1979" s="132" t="s">
        <v>1742</v>
      </c>
      <c r="L1979" s="132" t="s">
        <v>1743</v>
      </c>
      <c r="M1979" s="132" t="s">
        <v>5412</v>
      </c>
      <c r="N1979" s="132" t="s">
        <v>1105</v>
      </c>
      <c r="O1979" s="132" t="s">
        <v>5413</v>
      </c>
      <c r="P1979" s="132" t="s">
        <v>4923</v>
      </c>
      <c r="Q1979" s="132" t="s">
        <v>1108</v>
      </c>
    </row>
    <row r="1980" spans="1:17" x14ac:dyDescent="0.2">
      <c r="A1980" t="s">
        <v>138</v>
      </c>
      <c r="B1980" s="141">
        <f t="shared" si="32"/>
        <v>3.13</v>
      </c>
      <c r="C1980" s="280">
        <v>45902</v>
      </c>
      <c r="D1980" s="279">
        <v>45904</v>
      </c>
      <c r="E1980" s="279">
        <v>45906</v>
      </c>
      <c r="F1980" s="132"/>
      <c r="G1980" s="132" t="s">
        <v>1108</v>
      </c>
      <c r="H1980" s="132" t="s">
        <v>373</v>
      </c>
      <c r="I1980" s="132" t="s">
        <v>1100</v>
      </c>
      <c r="J1980" s="132" t="s">
        <v>1730</v>
      </c>
      <c r="K1980" s="132" t="s">
        <v>1742</v>
      </c>
      <c r="L1980" s="132" t="s">
        <v>1743</v>
      </c>
      <c r="M1980" s="132" t="s">
        <v>5414</v>
      </c>
      <c r="N1980" s="132" t="s">
        <v>1117</v>
      </c>
      <c r="O1980" s="132" t="s">
        <v>5415</v>
      </c>
      <c r="P1980" s="132" t="s">
        <v>4923</v>
      </c>
      <c r="Q1980" s="132" t="s">
        <v>1108</v>
      </c>
    </row>
    <row r="1981" spans="1:17" x14ac:dyDescent="0.2">
      <c r="A1981" t="s">
        <v>139</v>
      </c>
      <c r="B1981" s="141">
        <f t="shared" si="32"/>
        <v>9.4500000000000011</v>
      </c>
      <c r="C1981" s="280">
        <v>45902</v>
      </c>
      <c r="D1981" s="279">
        <v>45904</v>
      </c>
      <c r="E1981" s="279">
        <v>45906</v>
      </c>
      <c r="F1981" s="132"/>
      <c r="G1981" s="132" t="s">
        <v>1108</v>
      </c>
      <c r="H1981" s="132" t="s">
        <v>373</v>
      </c>
      <c r="I1981" s="132" t="s">
        <v>1100</v>
      </c>
      <c r="J1981" s="132" t="s">
        <v>5217</v>
      </c>
      <c r="K1981" s="132" t="s">
        <v>5416</v>
      </c>
      <c r="L1981" s="132" t="s">
        <v>3970</v>
      </c>
      <c r="M1981" s="132" t="s">
        <v>5417</v>
      </c>
      <c r="N1981" s="132" t="s">
        <v>1112</v>
      </c>
      <c r="O1981" s="132" t="s">
        <v>5418</v>
      </c>
      <c r="P1981" s="132" t="s">
        <v>4923</v>
      </c>
      <c r="Q1981" s="132" t="s">
        <v>1108</v>
      </c>
    </row>
    <row r="1982" spans="1:17" x14ac:dyDescent="0.2">
      <c r="A1982" t="s">
        <v>139</v>
      </c>
      <c r="B1982" s="141">
        <f t="shared" si="32"/>
        <v>4.6000000000000005</v>
      </c>
      <c r="C1982" s="280">
        <v>45902</v>
      </c>
      <c r="D1982" s="279">
        <v>45904</v>
      </c>
      <c r="E1982" s="279">
        <v>45906</v>
      </c>
      <c r="F1982" s="132"/>
      <c r="G1982" s="132" t="s">
        <v>1108</v>
      </c>
      <c r="H1982" s="132" t="s">
        <v>373</v>
      </c>
      <c r="I1982" s="132" t="s">
        <v>1100</v>
      </c>
      <c r="J1982" s="132" t="s">
        <v>2671</v>
      </c>
      <c r="K1982" s="132" t="s">
        <v>2672</v>
      </c>
      <c r="L1982" s="132" t="s">
        <v>2673</v>
      </c>
      <c r="M1982" s="132" t="s">
        <v>5419</v>
      </c>
      <c r="N1982" s="132" t="s">
        <v>1117</v>
      </c>
      <c r="O1982" s="132" t="s">
        <v>5420</v>
      </c>
      <c r="P1982" s="132" t="s">
        <v>4923</v>
      </c>
      <c r="Q1982" s="132" t="s">
        <v>1108</v>
      </c>
    </row>
    <row r="1983" spans="1:17" x14ac:dyDescent="0.2">
      <c r="A1983" t="s">
        <v>138</v>
      </c>
      <c r="B1983" s="141">
        <f t="shared" si="32"/>
        <v>3.11</v>
      </c>
      <c r="C1983" s="280">
        <v>45902</v>
      </c>
      <c r="D1983" s="279">
        <v>45904</v>
      </c>
      <c r="E1983" s="279">
        <v>45906</v>
      </c>
      <c r="F1983" s="132"/>
      <c r="G1983" s="132" t="s">
        <v>1108</v>
      </c>
      <c r="H1983" s="132" t="s">
        <v>373</v>
      </c>
      <c r="I1983" s="132" t="s">
        <v>1100</v>
      </c>
      <c r="J1983" s="132" t="s">
        <v>1730</v>
      </c>
      <c r="K1983" s="132" t="s">
        <v>1731</v>
      </c>
      <c r="L1983" s="132" t="s">
        <v>1732</v>
      </c>
      <c r="M1983" s="132" t="s">
        <v>5421</v>
      </c>
      <c r="N1983" s="132" t="s">
        <v>1112</v>
      </c>
      <c r="O1983" s="132" t="s">
        <v>5422</v>
      </c>
      <c r="P1983" s="132" t="s">
        <v>4923</v>
      </c>
      <c r="Q1983" s="132" t="s">
        <v>1108</v>
      </c>
    </row>
    <row r="1984" spans="1:17" x14ac:dyDescent="0.2">
      <c r="A1984" t="s">
        <v>138</v>
      </c>
      <c r="B1984" s="141">
        <f t="shared" si="32"/>
        <v>3.13</v>
      </c>
      <c r="C1984" s="280">
        <v>45902</v>
      </c>
      <c r="D1984" s="279">
        <v>45904</v>
      </c>
      <c r="E1984" s="279">
        <v>45906</v>
      </c>
      <c r="F1984" s="132"/>
      <c r="G1984" s="132" t="s">
        <v>1108</v>
      </c>
      <c r="H1984" s="132" t="s">
        <v>373</v>
      </c>
      <c r="I1984" s="132" t="s">
        <v>1100</v>
      </c>
      <c r="J1984" s="132" t="s">
        <v>1730</v>
      </c>
      <c r="K1984" s="132" t="s">
        <v>1742</v>
      </c>
      <c r="L1984" s="132" t="s">
        <v>1743</v>
      </c>
      <c r="M1984" s="132" t="s">
        <v>5423</v>
      </c>
      <c r="N1984" s="132" t="s">
        <v>1117</v>
      </c>
      <c r="O1984" s="132" t="s">
        <v>5424</v>
      </c>
      <c r="P1984" s="132" t="s">
        <v>4923</v>
      </c>
      <c r="Q1984" s="132" t="s">
        <v>1108</v>
      </c>
    </row>
    <row r="1985" spans="1:17" x14ac:dyDescent="0.2">
      <c r="A1985" t="s">
        <v>139</v>
      </c>
      <c r="B1985" s="141">
        <f t="shared" si="32"/>
        <v>4.6000000000000005</v>
      </c>
      <c r="C1985" s="280">
        <v>45902</v>
      </c>
      <c r="D1985" s="279">
        <v>45904</v>
      </c>
      <c r="E1985" s="279">
        <v>45906</v>
      </c>
      <c r="F1985" s="132"/>
      <c r="G1985" s="132" t="s">
        <v>1108</v>
      </c>
      <c r="H1985" s="132" t="s">
        <v>373</v>
      </c>
      <c r="I1985" s="132" t="s">
        <v>1100</v>
      </c>
      <c r="J1985" s="132" t="s">
        <v>2671</v>
      </c>
      <c r="K1985" s="132" t="s">
        <v>2672</v>
      </c>
      <c r="L1985" s="132" t="s">
        <v>2673</v>
      </c>
      <c r="M1985" s="132" t="s">
        <v>5425</v>
      </c>
      <c r="N1985" s="132" t="s">
        <v>1117</v>
      </c>
      <c r="O1985" s="132" t="s">
        <v>5426</v>
      </c>
      <c r="P1985" s="132" t="s">
        <v>4923</v>
      </c>
      <c r="Q1985" s="132" t="s">
        <v>1108</v>
      </c>
    </row>
    <row r="1986" spans="1:17" x14ac:dyDescent="0.2">
      <c r="A1986" t="s">
        <v>138</v>
      </c>
      <c r="B1986" s="141">
        <f t="shared" si="32"/>
        <v>3.13</v>
      </c>
      <c r="C1986" s="280">
        <v>45902</v>
      </c>
      <c r="D1986" s="279">
        <v>45904</v>
      </c>
      <c r="E1986" s="279">
        <v>45906</v>
      </c>
      <c r="F1986" s="132"/>
      <c r="G1986" s="132" t="s">
        <v>1108</v>
      </c>
      <c r="H1986" s="132" t="s">
        <v>373</v>
      </c>
      <c r="I1986" s="132" t="s">
        <v>1100</v>
      </c>
      <c r="J1986" s="132" t="s">
        <v>1730</v>
      </c>
      <c r="K1986" s="132" t="s">
        <v>1742</v>
      </c>
      <c r="L1986" s="132" t="s">
        <v>1743</v>
      </c>
      <c r="M1986" s="132" t="s">
        <v>5427</v>
      </c>
      <c r="N1986" s="132" t="s">
        <v>1117</v>
      </c>
      <c r="O1986" s="132" t="s">
        <v>5428</v>
      </c>
      <c r="P1986" s="132" t="s">
        <v>4923</v>
      </c>
      <c r="Q1986" s="132" t="s">
        <v>1108</v>
      </c>
    </row>
    <row r="1987" spans="1:17" x14ac:dyDescent="0.2">
      <c r="A1987" t="s">
        <v>138</v>
      </c>
      <c r="B1987" s="141">
        <f t="shared" si="32"/>
        <v>3.13</v>
      </c>
      <c r="C1987" s="280">
        <v>45902</v>
      </c>
      <c r="D1987" s="279">
        <v>45904</v>
      </c>
      <c r="E1987" s="279">
        <v>45906</v>
      </c>
      <c r="F1987" s="132"/>
      <c r="G1987" s="132" t="s">
        <v>1108</v>
      </c>
      <c r="H1987" s="132" t="s">
        <v>373</v>
      </c>
      <c r="I1987" s="132" t="s">
        <v>1100</v>
      </c>
      <c r="J1987" s="132" t="s">
        <v>1730</v>
      </c>
      <c r="K1987" s="132" t="s">
        <v>1742</v>
      </c>
      <c r="L1987" s="132" t="s">
        <v>1743</v>
      </c>
      <c r="M1987" s="132" t="s">
        <v>5429</v>
      </c>
      <c r="N1987" s="132" t="s">
        <v>1117</v>
      </c>
      <c r="O1987" s="132" t="s">
        <v>5430</v>
      </c>
      <c r="P1987" s="132" t="s">
        <v>4923</v>
      </c>
      <c r="Q1987" s="132" t="s">
        <v>1108</v>
      </c>
    </row>
    <row r="1988" spans="1:17" x14ac:dyDescent="0.2">
      <c r="A1988" t="s">
        <v>139</v>
      </c>
      <c r="B1988" s="141">
        <f t="shared" si="32"/>
        <v>4.57</v>
      </c>
      <c r="C1988" s="280">
        <v>45902</v>
      </c>
      <c r="D1988" s="279">
        <v>45904</v>
      </c>
      <c r="E1988" s="279">
        <v>45906</v>
      </c>
      <c r="F1988" s="132"/>
      <c r="G1988" s="132" t="s">
        <v>1108</v>
      </c>
      <c r="H1988" s="132" t="s">
        <v>373</v>
      </c>
      <c r="I1988" s="132" t="s">
        <v>1100</v>
      </c>
      <c r="J1988" s="132" t="s">
        <v>2671</v>
      </c>
      <c r="K1988" s="132" t="s">
        <v>1927</v>
      </c>
      <c r="L1988" s="132" t="s">
        <v>2740</v>
      </c>
      <c r="M1988" s="132" t="s">
        <v>5431</v>
      </c>
      <c r="N1988" s="132" t="s">
        <v>1112</v>
      </c>
      <c r="O1988" s="132" t="s">
        <v>5432</v>
      </c>
      <c r="P1988" s="132" t="s">
        <v>4923</v>
      </c>
      <c r="Q1988" s="132" t="s">
        <v>1108</v>
      </c>
    </row>
    <row r="1989" spans="1:17" x14ac:dyDescent="0.2">
      <c r="A1989" t="s">
        <v>138</v>
      </c>
      <c r="B1989" s="141">
        <f t="shared" si="32"/>
        <v>3.13</v>
      </c>
      <c r="C1989" s="280">
        <v>45902</v>
      </c>
      <c r="D1989" s="279">
        <v>45904</v>
      </c>
      <c r="E1989" s="279">
        <v>45906</v>
      </c>
      <c r="F1989" s="132"/>
      <c r="G1989" s="132" t="s">
        <v>1108</v>
      </c>
      <c r="H1989" s="132" t="s">
        <v>373</v>
      </c>
      <c r="I1989" s="132" t="s">
        <v>1100</v>
      </c>
      <c r="J1989" s="132" t="s">
        <v>1730</v>
      </c>
      <c r="K1989" s="132" t="s">
        <v>1742</v>
      </c>
      <c r="L1989" s="132" t="s">
        <v>1743</v>
      </c>
      <c r="M1989" s="132" t="s">
        <v>5433</v>
      </c>
      <c r="N1989" s="132" t="s">
        <v>1117</v>
      </c>
      <c r="O1989" s="132" t="s">
        <v>5434</v>
      </c>
      <c r="P1989" s="132" t="s">
        <v>4923</v>
      </c>
      <c r="Q1989" s="132" t="s">
        <v>1108</v>
      </c>
    </row>
    <row r="1990" spans="1:17" x14ac:dyDescent="0.2">
      <c r="A1990" t="s">
        <v>138</v>
      </c>
      <c r="B1990" s="141">
        <f t="shared" si="32"/>
        <v>3.13</v>
      </c>
      <c r="C1990" s="280">
        <v>45902</v>
      </c>
      <c r="D1990" s="279">
        <v>45904</v>
      </c>
      <c r="E1990" s="279">
        <v>45906</v>
      </c>
      <c r="F1990" s="132"/>
      <c r="G1990" s="132" t="s">
        <v>1108</v>
      </c>
      <c r="H1990" s="132" t="s">
        <v>373</v>
      </c>
      <c r="I1990" s="132" t="s">
        <v>1100</v>
      </c>
      <c r="J1990" s="132" t="s">
        <v>1730</v>
      </c>
      <c r="K1990" s="132" t="s">
        <v>1742</v>
      </c>
      <c r="L1990" s="132" t="s">
        <v>1743</v>
      </c>
      <c r="M1990" s="132" t="s">
        <v>5435</v>
      </c>
      <c r="N1990" s="132" t="s">
        <v>1117</v>
      </c>
      <c r="O1990" s="132" t="s">
        <v>5436</v>
      </c>
      <c r="P1990" s="132" t="s">
        <v>4923</v>
      </c>
      <c r="Q1990" s="132" t="s">
        <v>1108</v>
      </c>
    </row>
    <row r="1991" spans="1:17" x14ac:dyDescent="0.2">
      <c r="A1991" t="s">
        <v>138</v>
      </c>
      <c r="B1991" s="141">
        <f t="shared" si="32"/>
        <v>3.13</v>
      </c>
      <c r="C1991" s="280">
        <v>45902</v>
      </c>
      <c r="D1991" s="279">
        <v>45904</v>
      </c>
      <c r="E1991" s="279">
        <v>45906</v>
      </c>
      <c r="F1991" s="132"/>
      <c r="G1991" s="132" t="s">
        <v>1108</v>
      </c>
      <c r="H1991" s="132" t="s">
        <v>373</v>
      </c>
      <c r="I1991" s="132" t="s">
        <v>1100</v>
      </c>
      <c r="J1991" s="132" t="s">
        <v>1730</v>
      </c>
      <c r="K1991" s="132" t="s">
        <v>1742</v>
      </c>
      <c r="L1991" s="132" t="s">
        <v>1743</v>
      </c>
      <c r="M1991" s="132" t="s">
        <v>5437</v>
      </c>
      <c r="N1991" s="132" t="s">
        <v>1117</v>
      </c>
      <c r="O1991" s="132" t="s">
        <v>5438</v>
      </c>
      <c r="P1991" s="132" t="s">
        <v>4923</v>
      </c>
      <c r="Q1991" s="132" t="s">
        <v>1108</v>
      </c>
    </row>
    <row r="1992" spans="1:17" x14ac:dyDescent="0.2">
      <c r="A1992" t="s">
        <v>138</v>
      </c>
      <c r="B1992" s="141">
        <f t="shared" si="32"/>
        <v>3.11</v>
      </c>
      <c r="C1992" s="280">
        <v>45902</v>
      </c>
      <c r="D1992" s="279">
        <v>45904</v>
      </c>
      <c r="E1992" s="279">
        <v>45906</v>
      </c>
      <c r="F1992" s="132"/>
      <c r="G1992" s="132" t="s">
        <v>1108</v>
      </c>
      <c r="H1992" s="132" t="s">
        <v>373</v>
      </c>
      <c r="I1992" s="132" t="s">
        <v>1100</v>
      </c>
      <c r="J1992" s="132" t="s">
        <v>1730</v>
      </c>
      <c r="K1992" s="132" t="s">
        <v>1731</v>
      </c>
      <c r="L1992" s="132" t="s">
        <v>1732</v>
      </c>
      <c r="M1992" s="132" t="s">
        <v>5439</v>
      </c>
      <c r="N1992" s="132" t="s">
        <v>1112</v>
      </c>
      <c r="O1992" s="132" t="s">
        <v>5440</v>
      </c>
      <c r="P1992" s="132" t="s">
        <v>4923</v>
      </c>
      <c r="Q1992" s="132" t="s">
        <v>1108</v>
      </c>
    </row>
    <row r="1993" spans="1:17" x14ac:dyDescent="0.2">
      <c r="A1993" t="s">
        <v>139</v>
      </c>
      <c r="B1993" s="141">
        <f t="shared" si="32"/>
        <v>4.6000000000000005</v>
      </c>
      <c r="C1993" s="280">
        <v>45902</v>
      </c>
      <c r="D1993" s="279">
        <v>45904</v>
      </c>
      <c r="E1993" s="279">
        <v>45906</v>
      </c>
      <c r="F1993" s="132"/>
      <c r="G1993" s="132" t="s">
        <v>1108</v>
      </c>
      <c r="H1993" s="132" t="s">
        <v>373</v>
      </c>
      <c r="I1993" s="132" t="s">
        <v>1100</v>
      </c>
      <c r="J1993" s="132" t="s">
        <v>2671</v>
      </c>
      <c r="K1993" s="132" t="s">
        <v>2672</v>
      </c>
      <c r="L1993" s="132" t="s">
        <v>2673</v>
      </c>
      <c r="M1993" s="281" t="s">
        <v>5441</v>
      </c>
      <c r="N1993" s="132" t="s">
        <v>1117</v>
      </c>
      <c r="O1993" s="132" t="s">
        <v>5442</v>
      </c>
      <c r="P1993" s="132" t="s">
        <v>4923</v>
      </c>
      <c r="Q1993" s="132" t="s">
        <v>1108</v>
      </c>
    </row>
    <row r="1994" spans="1:17" x14ac:dyDescent="0.2">
      <c r="A1994" t="s">
        <v>138</v>
      </c>
      <c r="B1994" s="141">
        <f t="shared" si="32"/>
        <v>3.13</v>
      </c>
      <c r="C1994" s="280">
        <v>45902</v>
      </c>
      <c r="D1994" s="279">
        <v>45904</v>
      </c>
      <c r="E1994" s="279">
        <v>45906</v>
      </c>
      <c r="F1994" s="132"/>
      <c r="G1994" s="132" t="s">
        <v>1585</v>
      </c>
      <c r="H1994" s="132" t="s">
        <v>373</v>
      </c>
      <c r="I1994" s="132" t="s">
        <v>1100</v>
      </c>
      <c r="J1994" s="132" t="s">
        <v>1730</v>
      </c>
      <c r="K1994" s="132" t="s">
        <v>1742</v>
      </c>
      <c r="L1994" s="132" t="s">
        <v>1743</v>
      </c>
      <c r="M1994" s="132" t="s">
        <v>5443</v>
      </c>
      <c r="N1994" s="132" t="s">
        <v>1105</v>
      </c>
      <c r="O1994" s="132" t="s">
        <v>5444</v>
      </c>
      <c r="P1994" s="132" t="s">
        <v>4923</v>
      </c>
      <c r="Q1994" s="132" t="s">
        <v>1108</v>
      </c>
    </row>
    <row r="1995" spans="1:17" x14ac:dyDescent="0.2">
      <c r="A1995" t="s">
        <v>138</v>
      </c>
      <c r="B1995" s="141">
        <f t="shared" si="32"/>
        <v>3.11</v>
      </c>
      <c r="C1995" s="280">
        <v>45902</v>
      </c>
      <c r="D1995" s="279">
        <v>45904</v>
      </c>
      <c r="E1995" s="279">
        <v>45906</v>
      </c>
      <c r="F1995" s="132"/>
      <c r="G1995" s="132" t="s">
        <v>1108</v>
      </c>
      <c r="H1995" s="132" t="s">
        <v>373</v>
      </c>
      <c r="I1995" s="132" t="s">
        <v>1100</v>
      </c>
      <c r="J1995" s="132" t="s">
        <v>1730</v>
      </c>
      <c r="K1995" s="132" t="s">
        <v>1731</v>
      </c>
      <c r="L1995" s="132" t="s">
        <v>1732</v>
      </c>
      <c r="M1995" s="132" t="s">
        <v>5445</v>
      </c>
      <c r="N1995" s="132" t="s">
        <v>1112</v>
      </c>
      <c r="O1995" s="132" t="s">
        <v>5446</v>
      </c>
      <c r="P1995" s="132" t="s">
        <v>4923</v>
      </c>
      <c r="Q1995" s="132" t="s">
        <v>1108</v>
      </c>
    </row>
    <row r="1996" spans="1:17" x14ac:dyDescent="0.2">
      <c r="A1996" t="s">
        <v>138</v>
      </c>
      <c r="B1996" s="141">
        <f t="shared" si="32"/>
        <v>3.11</v>
      </c>
      <c r="C1996" s="280">
        <v>45902</v>
      </c>
      <c r="D1996" s="279">
        <v>45904</v>
      </c>
      <c r="E1996" s="279">
        <v>45906</v>
      </c>
      <c r="F1996" s="132"/>
      <c r="G1996" s="132" t="s">
        <v>1108</v>
      </c>
      <c r="H1996" s="132" t="s">
        <v>373</v>
      </c>
      <c r="I1996" s="132" t="s">
        <v>1100</v>
      </c>
      <c r="J1996" s="132" t="s">
        <v>1730</v>
      </c>
      <c r="K1996" s="132" t="s">
        <v>1731</v>
      </c>
      <c r="L1996" s="132" t="s">
        <v>1732</v>
      </c>
      <c r="M1996" s="132" t="s">
        <v>5447</v>
      </c>
      <c r="N1996" s="132" t="s">
        <v>1112</v>
      </c>
      <c r="O1996" s="132" t="s">
        <v>5448</v>
      </c>
      <c r="P1996" s="132" t="s">
        <v>4923</v>
      </c>
      <c r="Q1996" s="132" t="s">
        <v>1108</v>
      </c>
    </row>
    <row r="1997" spans="1:17" x14ac:dyDescent="0.2">
      <c r="A1997" t="s">
        <v>138</v>
      </c>
      <c r="B1997" s="141">
        <f t="shared" si="32"/>
        <v>3.13</v>
      </c>
      <c r="C1997" s="280">
        <v>45902</v>
      </c>
      <c r="D1997" s="279">
        <v>45904</v>
      </c>
      <c r="E1997" s="279">
        <v>45906</v>
      </c>
      <c r="F1997" s="132"/>
      <c r="G1997" s="132" t="s">
        <v>1369</v>
      </c>
      <c r="H1997" s="132" t="s">
        <v>373</v>
      </c>
      <c r="I1997" s="132" t="s">
        <v>1100</v>
      </c>
      <c r="J1997" s="132" t="s">
        <v>1730</v>
      </c>
      <c r="K1997" s="132" t="s">
        <v>1742</v>
      </c>
      <c r="L1997" s="132" t="s">
        <v>1743</v>
      </c>
      <c r="M1997" s="132" t="s">
        <v>5449</v>
      </c>
      <c r="N1997" s="132" t="s">
        <v>1105</v>
      </c>
      <c r="O1997" s="132" t="s">
        <v>5450</v>
      </c>
      <c r="P1997" s="132" t="s">
        <v>4923</v>
      </c>
      <c r="Q1997" s="132" t="s">
        <v>1108</v>
      </c>
    </row>
    <row r="1998" spans="1:17" x14ac:dyDescent="0.2">
      <c r="A1998" t="s">
        <v>138</v>
      </c>
      <c r="B1998" s="141">
        <f t="shared" si="32"/>
        <v>3.13</v>
      </c>
      <c r="C1998" s="280">
        <v>45902</v>
      </c>
      <c r="D1998" s="279">
        <v>45904</v>
      </c>
      <c r="E1998" s="279">
        <v>45906</v>
      </c>
      <c r="F1998" s="132"/>
      <c r="G1998" s="132" t="s">
        <v>1108</v>
      </c>
      <c r="H1998" s="132" t="s">
        <v>373</v>
      </c>
      <c r="I1998" s="132" t="s">
        <v>1100</v>
      </c>
      <c r="J1998" s="132" t="s">
        <v>1730</v>
      </c>
      <c r="K1998" s="132" t="s">
        <v>1742</v>
      </c>
      <c r="L1998" s="132" t="s">
        <v>1743</v>
      </c>
      <c r="M1998" s="132" t="s">
        <v>5451</v>
      </c>
      <c r="N1998" s="132" t="s">
        <v>1117</v>
      </c>
      <c r="O1998" s="132" t="s">
        <v>5452</v>
      </c>
      <c r="P1998" s="132" t="s">
        <v>4923</v>
      </c>
      <c r="Q1998" s="132" t="s">
        <v>1108</v>
      </c>
    </row>
    <row r="1999" spans="1:17" x14ac:dyDescent="0.2">
      <c r="A1999" t="s">
        <v>138</v>
      </c>
      <c r="B1999" s="141">
        <f t="shared" si="32"/>
        <v>3.13</v>
      </c>
      <c r="C1999" s="280">
        <v>45902</v>
      </c>
      <c r="D1999" s="279">
        <v>45904</v>
      </c>
      <c r="E1999" s="279">
        <v>45906</v>
      </c>
      <c r="F1999" s="132"/>
      <c r="G1999" s="132" t="s">
        <v>1108</v>
      </c>
      <c r="H1999" s="132" t="s">
        <v>373</v>
      </c>
      <c r="I1999" s="132" t="s">
        <v>1100</v>
      </c>
      <c r="J1999" s="132" t="s">
        <v>1730</v>
      </c>
      <c r="K1999" s="132" t="s">
        <v>1742</v>
      </c>
      <c r="L1999" s="132" t="s">
        <v>1743</v>
      </c>
      <c r="M1999" s="132" t="s">
        <v>5453</v>
      </c>
      <c r="N1999" s="132" t="s">
        <v>1117</v>
      </c>
      <c r="O1999" s="132" t="s">
        <v>5454</v>
      </c>
      <c r="P1999" s="132" t="s">
        <v>4923</v>
      </c>
      <c r="Q1999" s="132" t="s">
        <v>1108</v>
      </c>
    </row>
    <row r="2000" spans="1:17" x14ac:dyDescent="0.2">
      <c r="A2000" t="s">
        <v>138</v>
      </c>
      <c r="B2000" s="141">
        <f t="shared" si="32"/>
        <v>3.13</v>
      </c>
      <c r="C2000" s="280">
        <v>45902</v>
      </c>
      <c r="D2000" s="279">
        <v>45904</v>
      </c>
      <c r="E2000" s="279">
        <v>45906</v>
      </c>
      <c r="F2000" s="132"/>
      <c r="G2000" s="132" t="s">
        <v>1108</v>
      </c>
      <c r="H2000" s="132" t="s">
        <v>373</v>
      </c>
      <c r="I2000" s="132" t="s">
        <v>1100</v>
      </c>
      <c r="J2000" s="132" t="s">
        <v>1730</v>
      </c>
      <c r="K2000" s="132" t="s">
        <v>1742</v>
      </c>
      <c r="L2000" s="132" t="s">
        <v>1743</v>
      </c>
      <c r="M2000" s="132" t="s">
        <v>5455</v>
      </c>
      <c r="N2000" s="132" t="s">
        <v>1117</v>
      </c>
      <c r="O2000" s="132" t="s">
        <v>5456</v>
      </c>
      <c r="P2000" s="132" t="s">
        <v>4923</v>
      </c>
      <c r="Q2000" s="132" t="s">
        <v>1108</v>
      </c>
    </row>
    <row r="2001" spans="1:17" x14ac:dyDescent="0.2">
      <c r="A2001" t="s">
        <v>138</v>
      </c>
      <c r="B2001" s="141">
        <f t="shared" si="32"/>
        <v>3.11</v>
      </c>
      <c r="C2001" s="280">
        <v>45902</v>
      </c>
      <c r="D2001" s="279">
        <v>45904</v>
      </c>
      <c r="E2001" s="279">
        <v>45906</v>
      </c>
      <c r="F2001" s="132"/>
      <c r="G2001" s="132" t="s">
        <v>1108</v>
      </c>
      <c r="H2001" s="132" t="s">
        <v>373</v>
      </c>
      <c r="I2001" s="132" t="s">
        <v>1100</v>
      </c>
      <c r="J2001" s="132" t="s">
        <v>1730</v>
      </c>
      <c r="K2001" s="132" t="s">
        <v>1731</v>
      </c>
      <c r="L2001" s="132" t="s">
        <v>1732</v>
      </c>
      <c r="M2001" s="132" t="s">
        <v>5457</v>
      </c>
      <c r="N2001" s="132" t="s">
        <v>1112</v>
      </c>
      <c r="O2001" s="132" t="s">
        <v>5458</v>
      </c>
      <c r="P2001" s="132" t="s">
        <v>4923</v>
      </c>
      <c r="Q2001" s="132" t="s">
        <v>1108</v>
      </c>
    </row>
    <row r="2002" spans="1:17" x14ac:dyDescent="0.2">
      <c r="A2002" t="s">
        <v>138</v>
      </c>
      <c r="B2002" s="141">
        <f t="shared" si="32"/>
        <v>3.13</v>
      </c>
      <c r="C2002" s="280">
        <v>45902</v>
      </c>
      <c r="D2002" s="279">
        <v>45904</v>
      </c>
      <c r="E2002" s="279">
        <v>45906</v>
      </c>
      <c r="F2002" s="132"/>
      <c r="G2002" s="132" t="s">
        <v>1108</v>
      </c>
      <c r="H2002" s="132" t="s">
        <v>373</v>
      </c>
      <c r="I2002" s="132" t="s">
        <v>1100</v>
      </c>
      <c r="J2002" s="132" t="s">
        <v>1730</v>
      </c>
      <c r="K2002" s="132" t="s">
        <v>1742</v>
      </c>
      <c r="L2002" s="132" t="s">
        <v>1743</v>
      </c>
      <c r="M2002" s="132" t="s">
        <v>5459</v>
      </c>
      <c r="N2002" s="132" t="s">
        <v>1117</v>
      </c>
      <c r="O2002" s="132" t="s">
        <v>5460</v>
      </c>
      <c r="P2002" s="132" t="s">
        <v>4923</v>
      </c>
      <c r="Q2002" s="132" t="s">
        <v>1108</v>
      </c>
    </row>
    <row r="2003" spans="1:17" x14ac:dyDescent="0.2">
      <c r="A2003" t="s">
        <v>138</v>
      </c>
      <c r="B2003" s="141">
        <f t="shared" si="32"/>
        <v>3.13</v>
      </c>
      <c r="C2003" s="280">
        <v>45902</v>
      </c>
      <c r="D2003" s="279">
        <v>45904</v>
      </c>
      <c r="E2003" s="279">
        <v>45906</v>
      </c>
      <c r="F2003" s="132"/>
      <c r="G2003" s="132" t="s">
        <v>1108</v>
      </c>
      <c r="H2003" s="132" t="s">
        <v>373</v>
      </c>
      <c r="I2003" s="132" t="s">
        <v>1100</v>
      </c>
      <c r="J2003" s="132" t="s">
        <v>1730</v>
      </c>
      <c r="K2003" s="132" t="s">
        <v>1742</v>
      </c>
      <c r="L2003" s="132" t="s">
        <v>1743</v>
      </c>
      <c r="M2003" s="132" t="s">
        <v>5461</v>
      </c>
      <c r="N2003" s="132" t="s">
        <v>1117</v>
      </c>
      <c r="O2003" s="132" t="s">
        <v>5462</v>
      </c>
      <c r="P2003" s="132" t="s">
        <v>4923</v>
      </c>
      <c r="Q2003" s="132" t="s">
        <v>1108</v>
      </c>
    </row>
    <row r="2004" spans="1:17" x14ac:dyDescent="0.2">
      <c r="A2004" t="s">
        <v>138</v>
      </c>
      <c r="B2004" s="141">
        <f t="shared" si="32"/>
        <v>3.13</v>
      </c>
      <c r="C2004" s="280">
        <v>45902</v>
      </c>
      <c r="D2004" s="279">
        <v>45904</v>
      </c>
      <c r="E2004" s="279">
        <v>45906</v>
      </c>
      <c r="F2004" s="132"/>
      <c r="G2004" s="132" t="s">
        <v>1421</v>
      </c>
      <c r="H2004" s="132" t="s">
        <v>373</v>
      </c>
      <c r="I2004" s="132" t="s">
        <v>1100</v>
      </c>
      <c r="J2004" s="132" t="s">
        <v>1730</v>
      </c>
      <c r="K2004" s="132" t="s">
        <v>1742</v>
      </c>
      <c r="L2004" s="132" t="s">
        <v>1743</v>
      </c>
      <c r="M2004" s="132" t="s">
        <v>5463</v>
      </c>
      <c r="N2004" s="132" t="s">
        <v>1105</v>
      </c>
      <c r="O2004" s="132" t="s">
        <v>5464</v>
      </c>
      <c r="P2004" s="132" t="s">
        <v>4923</v>
      </c>
      <c r="Q2004" s="132" t="s">
        <v>1108</v>
      </c>
    </row>
    <row r="2005" spans="1:17" x14ac:dyDescent="0.2">
      <c r="A2005" t="s">
        <v>138</v>
      </c>
      <c r="B2005" s="141">
        <f t="shared" si="32"/>
        <v>3.13</v>
      </c>
      <c r="C2005" s="280">
        <v>45902</v>
      </c>
      <c r="D2005" s="279">
        <v>45904</v>
      </c>
      <c r="E2005" s="279">
        <v>45906</v>
      </c>
      <c r="F2005" s="132"/>
      <c r="G2005" s="132" t="s">
        <v>1108</v>
      </c>
      <c r="H2005" s="132" t="s">
        <v>373</v>
      </c>
      <c r="I2005" s="132" t="s">
        <v>1100</v>
      </c>
      <c r="J2005" s="132" t="s">
        <v>1730</v>
      </c>
      <c r="K2005" s="132" t="s">
        <v>1742</v>
      </c>
      <c r="L2005" s="132" t="s">
        <v>1743</v>
      </c>
      <c r="M2005" s="132" t="s">
        <v>5465</v>
      </c>
      <c r="N2005" s="132" t="s">
        <v>1117</v>
      </c>
      <c r="O2005" s="132" t="s">
        <v>5466</v>
      </c>
      <c r="P2005" s="132" t="s">
        <v>4923</v>
      </c>
      <c r="Q2005" s="132" t="s">
        <v>1108</v>
      </c>
    </row>
    <row r="2006" spans="1:17" x14ac:dyDescent="0.2">
      <c r="A2006" t="s">
        <v>138</v>
      </c>
      <c r="B2006" s="141">
        <f t="shared" si="32"/>
        <v>3.11</v>
      </c>
      <c r="C2006" s="280">
        <v>45902</v>
      </c>
      <c r="D2006" s="279">
        <v>45904</v>
      </c>
      <c r="E2006" s="279">
        <v>45906</v>
      </c>
      <c r="F2006" s="132"/>
      <c r="G2006" s="132" t="s">
        <v>1108</v>
      </c>
      <c r="H2006" s="132" t="s">
        <v>373</v>
      </c>
      <c r="I2006" s="132" t="s">
        <v>1100</v>
      </c>
      <c r="J2006" s="132" t="s">
        <v>1730</v>
      </c>
      <c r="K2006" s="132" t="s">
        <v>1731</v>
      </c>
      <c r="L2006" s="132" t="s">
        <v>1732</v>
      </c>
      <c r="M2006" s="132" t="s">
        <v>5467</v>
      </c>
      <c r="N2006" s="132" t="s">
        <v>1112</v>
      </c>
      <c r="O2006" s="132" t="s">
        <v>5468</v>
      </c>
      <c r="P2006" s="132" t="s">
        <v>4923</v>
      </c>
      <c r="Q2006" s="132" t="s">
        <v>1108</v>
      </c>
    </row>
    <row r="2007" spans="1:17" x14ac:dyDescent="0.2">
      <c r="A2007" t="s">
        <v>139</v>
      </c>
      <c r="B2007" s="141">
        <f t="shared" si="32"/>
        <v>4.57</v>
      </c>
      <c r="C2007" s="280">
        <v>45902</v>
      </c>
      <c r="D2007" s="279">
        <v>45904</v>
      </c>
      <c r="E2007" s="279">
        <v>45906</v>
      </c>
      <c r="F2007" s="132"/>
      <c r="G2007" s="132" t="s">
        <v>1108</v>
      </c>
      <c r="H2007" s="132" t="s">
        <v>373</v>
      </c>
      <c r="I2007" s="132" t="s">
        <v>1100</v>
      </c>
      <c r="J2007" s="132" t="s">
        <v>2671</v>
      </c>
      <c r="K2007" s="132" t="s">
        <v>1927</v>
      </c>
      <c r="L2007" s="132" t="s">
        <v>2740</v>
      </c>
      <c r="M2007" s="132" t="s">
        <v>5469</v>
      </c>
      <c r="N2007" s="132" t="s">
        <v>1112</v>
      </c>
      <c r="O2007" s="132" t="s">
        <v>5470</v>
      </c>
      <c r="P2007" s="132" t="s">
        <v>4923</v>
      </c>
      <c r="Q2007" s="132" t="s">
        <v>1108</v>
      </c>
    </row>
    <row r="2008" spans="1:17" x14ac:dyDescent="0.2">
      <c r="A2008" t="s">
        <v>138</v>
      </c>
      <c r="B2008" s="141">
        <f t="shared" si="32"/>
        <v>3.13</v>
      </c>
      <c r="C2008" s="280">
        <v>45902</v>
      </c>
      <c r="D2008" s="279">
        <v>45904</v>
      </c>
      <c r="E2008" s="279">
        <v>45906</v>
      </c>
      <c r="F2008" s="132"/>
      <c r="G2008" s="132" t="s">
        <v>2220</v>
      </c>
      <c r="H2008" s="132" t="s">
        <v>373</v>
      </c>
      <c r="I2008" s="132" t="s">
        <v>1100</v>
      </c>
      <c r="J2008" s="132" t="s">
        <v>1730</v>
      </c>
      <c r="K2008" s="132" t="s">
        <v>1742</v>
      </c>
      <c r="L2008" s="132" t="s">
        <v>1743</v>
      </c>
      <c r="M2008" s="132" t="s">
        <v>5471</v>
      </c>
      <c r="N2008" s="132" t="s">
        <v>1105</v>
      </c>
      <c r="O2008" s="132" t="s">
        <v>5472</v>
      </c>
      <c r="P2008" s="132" t="s">
        <v>4923</v>
      </c>
      <c r="Q2008" s="132" t="s">
        <v>1108</v>
      </c>
    </row>
    <row r="2009" spans="1:17" x14ac:dyDescent="0.2">
      <c r="A2009" t="s">
        <v>138</v>
      </c>
      <c r="B2009" s="141">
        <f t="shared" si="32"/>
        <v>3.13</v>
      </c>
      <c r="C2009" s="280">
        <v>45902</v>
      </c>
      <c r="D2009" s="279">
        <v>45904</v>
      </c>
      <c r="E2009" s="279">
        <v>45906</v>
      </c>
      <c r="F2009" s="132"/>
      <c r="G2009" s="132" t="s">
        <v>1108</v>
      </c>
      <c r="H2009" s="132" t="s">
        <v>373</v>
      </c>
      <c r="I2009" s="132" t="s">
        <v>1100</v>
      </c>
      <c r="J2009" s="132" t="s">
        <v>1730</v>
      </c>
      <c r="K2009" s="132" t="s">
        <v>1742</v>
      </c>
      <c r="L2009" s="132" t="s">
        <v>1743</v>
      </c>
      <c r="M2009" s="132" t="s">
        <v>5473</v>
      </c>
      <c r="N2009" s="132" t="s">
        <v>1117</v>
      </c>
      <c r="O2009" s="132" t="s">
        <v>5474</v>
      </c>
      <c r="P2009" s="132" t="s">
        <v>4923</v>
      </c>
      <c r="Q2009" s="132" t="s">
        <v>1108</v>
      </c>
    </row>
    <row r="2010" spans="1:17" x14ac:dyDescent="0.2">
      <c r="A2010" t="s">
        <v>138</v>
      </c>
      <c r="B2010" s="141">
        <f t="shared" si="32"/>
        <v>3.11</v>
      </c>
      <c r="C2010" s="280">
        <v>45902</v>
      </c>
      <c r="D2010" s="279">
        <v>45904</v>
      </c>
      <c r="E2010" s="279">
        <v>45906</v>
      </c>
      <c r="F2010" s="132"/>
      <c r="G2010" s="132" t="s">
        <v>1108</v>
      </c>
      <c r="H2010" s="132" t="s">
        <v>373</v>
      </c>
      <c r="I2010" s="132" t="s">
        <v>1100</v>
      </c>
      <c r="J2010" s="132" t="s">
        <v>1730</v>
      </c>
      <c r="K2010" s="132" t="s">
        <v>1731</v>
      </c>
      <c r="L2010" s="132" t="s">
        <v>1732</v>
      </c>
      <c r="M2010" s="132" t="s">
        <v>5475</v>
      </c>
      <c r="N2010" s="132" t="s">
        <v>1112</v>
      </c>
      <c r="O2010" s="132" t="s">
        <v>5476</v>
      </c>
      <c r="P2010" s="132" t="s">
        <v>4923</v>
      </c>
      <c r="Q2010" s="132" t="s">
        <v>1108</v>
      </c>
    </row>
    <row r="2011" spans="1:17" x14ac:dyDescent="0.2">
      <c r="A2011" t="s">
        <v>81</v>
      </c>
      <c r="B2011" s="141">
        <f t="shared" si="32"/>
        <v>58.2</v>
      </c>
      <c r="C2011" s="280">
        <v>45902</v>
      </c>
      <c r="D2011" s="279">
        <v>45904</v>
      </c>
      <c r="E2011" s="279">
        <v>45906</v>
      </c>
      <c r="F2011" s="132"/>
      <c r="G2011" s="132" t="s">
        <v>1108</v>
      </c>
      <c r="H2011" s="132" t="s">
        <v>373</v>
      </c>
      <c r="I2011" s="132" t="s">
        <v>1100</v>
      </c>
      <c r="J2011" s="132" t="s">
        <v>4623</v>
      </c>
      <c r="K2011" s="132" t="s">
        <v>4624</v>
      </c>
      <c r="L2011" s="132" t="s">
        <v>4625</v>
      </c>
      <c r="M2011" s="132" t="s">
        <v>5477</v>
      </c>
      <c r="N2011" s="132" t="s">
        <v>1112</v>
      </c>
      <c r="O2011" s="132" t="s">
        <v>5478</v>
      </c>
      <c r="P2011" s="132" t="s">
        <v>4923</v>
      </c>
      <c r="Q2011" s="132" t="s">
        <v>1108</v>
      </c>
    </row>
    <row r="2012" spans="1:17" x14ac:dyDescent="0.2">
      <c r="A2012" t="s">
        <v>81</v>
      </c>
      <c r="B2012" s="141">
        <f t="shared" si="32"/>
        <v>58.2</v>
      </c>
      <c r="C2012" s="280">
        <v>45902</v>
      </c>
      <c r="D2012" s="279">
        <v>45904</v>
      </c>
      <c r="E2012" s="279">
        <v>45906</v>
      </c>
      <c r="F2012" s="132"/>
      <c r="G2012" s="132" t="s">
        <v>1108</v>
      </c>
      <c r="H2012" s="132" t="s">
        <v>373</v>
      </c>
      <c r="I2012" s="132" t="s">
        <v>1100</v>
      </c>
      <c r="J2012" s="132" t="s">
        <v>4623</v>
      </c>
      <c r="K2012" s="132" t="s">
        <v>4624</v>
      </c>
      <c r="L2012" s="132" t="s">
        <v>4625</v>
      </c>
      <c r="M2012" s="132" t="s">
        <v>5479</v>
      </c>
      <c r="N2012" s="132" t="s">
        <v>1112</v>
      </c>
      <c r="O2012" s="132" t="s">
        <v>5480</v>
      </c>
      <c r="P2012" s="132" t="s">
        <v>4923</v>
      </c>
      <c r="Q2012" s="132" t="s">
        <v>1108</v>
      </c>
    </row>
    <row r="2013" spans="1:17" x14ac:dyDescent="0.2">
      <c r="A2013" t="s">
        <v>81</v>
      </c>
      <c r="B2013" s="141">
        <f t="shared" si="32"/>
        <v>58.2</v>
      </c>
      <c r="C2013" s="280">
        <v>45902</v>
      </c>
      <c r="D2013" s="279">
        <v>45904</v>
      </c>
      <c r="E2013" s="279">
        <v>45906</v>
      </c>
      <c r="F2013" s="132"/>
      <c r="G2013" s="132" t="s">
        <v>1108</v>
      </c>
      <c r="H2013" s="132" t="s">
        <v>373</v>
      </c>
      <c r="I2013" s="132" t="s">
        <v>1100</v>
      </c>
      <c r="J2013" s="132" t="s">
        <v>4623</v>
      </c>
      <c r="K2013" s="132" t="s">
        <v>4624</v>
      </c>
      <c r="L2013" s="132" t="s">
        <v>4625</v>
      </c>
      <c r="M2013" s="132" t="s">
        <v>5481</v>
      </c>
      <c r="N2013" s="132" t="s">
        <v>1112</v>
      </c>
      <c r="O2013" s="132" t="s">
        <v>5482</v>
      </c>
      <c r="P2013" s="132" t="s">
        <v>4923</v>
      </c>
      <c r="Q2013" s="132" t="s">
        <v>1108</v>
      </c>
    </row>
    <row r="2014" spans="1:17" x14ac:dyDescent="0.2">
      <c r="A2014" t="s">
        <v>81</v>
      </c>
      <c r="B2014" s="141">
        <f t="shared" si="32"/>
        <v>58.2</v>
      </c>
      <c r="C2014" s="280">
        <v>45902</v>
      </c>
      <c r="D2014" s="279">
        <v>45904</v>
      </c>
      <c r="E2014" s="279">
        <v>45906</v>
      </c>
      <c r="F2014" s="132"/>
      <c r="G2014" s="132" t="s">
        <v>1108</v>
      </c>
      <c r="H2014" s="132" t="s">
        <v>373</v>
      </c>
      <c r="I2014" s="132" t="s">
        <v>1100</v>
      </c>
      <c r="J2014" s="132" t="s">
        <v>4623</v>
      </c>
      <c r="K2014" s="132" t="s">
        <v>4624</v>
      </c>
      <c r="L2014" s="132" t="s">
        <v>4625</v>
      </c>
      <c r="M2014" s="132" t="s">
        <v>5483</v>
      </c>
      <c r="N2014" s="132" t="s">
        <v>1112</v>
      </c>
      <c r="O2014" s="132" t="s">
        <v>5484</v>
      </c>
      <c r="P2014" s="132" t="s">
        <v>4923</v>
      </c>
      <c r="Q2014" s="132" t="s">
        <v>1108</v>
      </c>
    </row>
    <row r="2015" spans="1:17" x14ac:dyDescent="0.2">
      <c r="A2015" t="s">
        <v>81</v>
      </c>
      <c r="B2015" s="141">
        <f t="shared" si="32"/>
        <v>58.2</v>
      </c>
      <c r="C2015" s="280">
        <v>45902</v>
      </c>
      <c r="D2015" s="279">
        <v>45904</v>
      </c>
      <c r="E2015" s="279">
        <v>45906</v>
      </c>
      <c r="F2015" s="132"/>
      <c r="G2015" s="132" t="s">
        <v>1108</v>
      </c>
      <c r="H2015" s="132" t="s">
        <v>373</v>
      </c>
      <c r="I2015" s="132" t="s">
        <v>1100</v>
      </c>
      <c r="J2015" s="132" t="s">
        <v>4623</v>
      </c>
      <c r="K2015" s="132" t="s">
        <v>4624</v>
      </c>
      <c r="L2015" s="132" t="s">
        <v>4625</v>
      </c>
      <c r="M2015" s="132" t="s">
        <v>5485</v>
      </c>
      <c r="N2015" s="132" t="s">
        <v>1112</v>
      </c>
      <c r="O2015" s="132" t="s">
        <v>5486</v>
      </c>
      <c r="P2015" s="132" t="s">
        <v>4923</v>
      </c>
      <c r="Q2015" s="132" t="s">
        <v>1108</v>
      </c>
    </row>
    <row r="2016" spans="1:17" x14ac:dyDescent="0.2">
      <c r="A2016" t="s">
        <v>81</v>
      </c>
      <c r="B2016" s="141">
        <f t="shared" si="32"/>
        <v>58.2</v>
      </c>
      <c r="C2016" s="280">
        <v>45902</v>
      </c>
      <c r="D2016" s="279">
        <v>45904</v>
      </c>
      <c r="E2016" s="279">
        <v>45906</v>
      </c>
      <c r="F2016" s="132"/>
      <c r="G2016" s="132" t="s">
        <v>1108</v>
      </c>
      <c r="H2016" s="132" t="s">
        <v>373</v>
      </c>
      <c r="I2016" s="132" t="s">
        <v>1100</v>
      </c>
      <c r="J2016" s="132" t="s">
        <v>4623</v>
      </c>
      <c r="K2016" s="132" t="s">
        <v>4624</v>
      </c>
      <c r="L2016" s="132" t="s">
        <v>4625</v>
      </c>
      <c r="M2016" s="132" t="s">
        <v>5487</v>
      </c>
      <c r="N2016" s="132" t="s">
        <v>1112</v>
      </c>
      <c r="O2016" s="132" t="s">
        <v>5488</v>
      </c>
      <c r="P2016" s="132" t="s">
        <v>4923</v>
      </c>
      <c r="Q2016" s="132" t="s">
        <v>1108</v>
      </c>
    </row>
    <row r="2017" spans="1:17" x14ac:dyDescent="0.2">
      <c r="A2017" t="s">
        <v>81</v>
      </c>
      <c r="B2017" s="141">
        <f t="shared" si="32"/>
        <v>58.56</v>
      </c>
      <c r="C2017" s="280">
        <v>45902</v>
      </c>
      <c r="D2017" s="279">
        <v>45904</v>
      </c>
      <c r="E2017" s="279">
        <v>45906</v>
      </c>
      <c r="F2017" s="132"/>
      <c r="G2017" s="132" t="s">
        <v>4743</v>
      </c>
      <c r="H2017" s="132" t="s">
        <v>373</v>
      </c>
      <c r="I2017" s="132" t="s">
        <v>1100</v>
      </c>
      <c r="J2017" s="132" t="s">
        <v>4623</v>
      </c>
      <c r="K2017" s="132" t="s">
        <v>4672</v>
      </c>
      <c r="L2017" s="132" t="s">
        <v>4673</v>
      </c>
      <c r="M2017" s="132" t="s">
        <v>5489</v>
      </c>
      <c r="N2017" s="132" t="s">
        <v>1105</v>
      </c>
      <c r="O2017" s="132" t="s">
        <v>5490</v>
      </c>
      <c r="P2017" s="132" t="s">
        <v>4923</v>
      </c>
      <c r="Q2017" s="132" t="s">
        <v>1108</v>
      </c>
    </row>
    <row r="2018" spans="1:17" x14ac:dyDescent="0.2">
      <c r="A2018" t="s">
        <v>81</v>
      </c>
      <c r="B2018" s="141">
        <f t="shared" si="32"/>
        <v>58.56</v>
      </c>
      <c r="C2018" s="280">
        <v>45902</v>
      </c>
      <c r="D2018" s="279">
        <v>45904</v>
      </c>
      <c r="E2018" s="279">
        <v>45906</v>
      </c>
      <c r="F2018" s="132"/>
      <c r="G2018" s="132" t="s">
        <v>4688</v>
      </c>
      <c r="H2018" s="132" t="s">
        <v>373</v>
      </c>
      <c r="I2018" s="132" t="s">
        <v>1100</v>
      </c>
      <c r="J2018" s="132" t="s">
        <v>4623</v>
      </c>
      <c r="K2018" s="132" t="s">
        <v>4672</v>
      </c>
      <c r="L2018" s="132" t="s">
        <v>4673</v>
      </c>
      <c r="M2018" s="132" t="s">
        <v>5491</v>
      </c>
      <c r="N2018" s="132" t="s">
        <v>1105</v>
      </c>
      <c r="O2018" s="132" t="s">
        <v>5492</v>
      </c>
      <c r="P2018" s="132" t="s">
        <v>4923</v>
      </c>
      <c r="Q2018" s="132" t="s">
        <v>1108</v>
      </c>
    </row>
    <row r="2019" spans="1:17" x14ac:dyDescent="0.2">
      <c r="A2019" t="s">
        <v>81</v>
      </c>
      <c r="B2019" s="141">
        <f t="shared" si="32"/>
        <v>58.56</v>
      </c>
      <c r="C2019" s="280">
        <v>45902</v>
      </c>
      <c r="D2019" s="279">
        <v>45904</v>
      </c>
      <c r="E2019" s="279">
        <v>45906</v>
      </c>
      <c r="F2019" s="132"/>
      <c r="G2019" s="132" t="s">
        <v>5493</v>
      </c>
      <c r="H2019" s="132" t="s">
        <v>373</v>
      </c>
      <c r="I2019" s="132" t="s">
        <v>1100</v>
      </c>
      <c r="J2019" s="132" t="s">
        <v>4623</v>
      </c>
      <c r="K2019" s="132" t="s">
        <v>4672</v>
      </c>
      <c r="L2019" s="132" t="s">
        <v>4673</v>
      </c>
      <c r="M2019" s="132" t="s">
        <v>5494</v>
      </c>
      <c r="N2019" s="132" t="s">
        <v>1105</v>
      </c>
      <c r="O2019" s="132" t="s">
        <v>5495</v>
      </c>
      <c r="P2019" s="132" t="s">
        <v>4923</v>
      </c>
      <c r="Q2019" s="132" t="s">
        <v>1108</v>
      </c>
    </row>
    <row r="2020" spans="1:17" x14ac:dyDescent="0.2">
      <c r="A2020" t="s">
        <v>81</v>
      </c>
      <c r="B2020" s="141">
        <f t="shared" si="32"/>
        <v>58.56</v>
      </c>
      <c r="C2020" s="280">
        <v>45902</v>
      </c>
      <c r="D2020" s="279">
        <v>45904</v>
      </c>
      <c r="E2020" s="279">
        <v>45906</v>
      </c>
      <c r="F2020" s="132"/>
      <c r="G2020" s="132" t="s">
        <v>5496</v>
      </c>
      <c r="H2020" s="132" t="s">
        <v>373</v>
      </c>
      <c r="I2020" s="132" t="s">
        <v>1100</v>
      </c>
      <c r="J2020" s="132" t="s">
        <v>4623</v>
      </c>
      <c r="K2020" s="132" t="s">
        <v>4672</v>
      </c>
      <c r="L2020" s="132" t="s">
        <v>4673</v>
      </c>
      <c r="M2020" s="132" t="s">
        <v>5497</v>
      </c>
      <c r="N2020" s="132" t="s">
        <v>1105</v>
      </c>
      <c r="O2020" s="281" t="s">
        <v>5498</v>
      </c>
      <c r="P2020" s="132" t="s">
        <v>4923</v>
      </c>
      <c r="Q2020" s="132" t="s">
        <v>1108</v>
      </c>
    </row>
    <row r="2021" spans="1:17" x14ac:dyDescent="0.2">
      <c r="A2021" t="s">
        <v>81</v>
      </c>
      <c r="B2021" s="141">
        <f t="shared" si="32"/>
        <v>58.56</v>
      </c>
      <c r="C2021" s="280">
        <v>45902</v>
      </c>
      <c r="D2021" s="279">
        <v>45904</v>
      </c>
      <c r="E2021" s="279">
        <v>45906</v>
      </c>
      <c r="F2021" s="132"/>
      <c r="G2021" s="132" t="s">
        <v>5499</v>
      </c>
      <c r="H2021" s="132" t="s">
        <v>373</v>
      </c>
      <c r="I2021" s="132" t="s">
        <v>1100</v>
      </c>
      <c r="J2021" s="132" t="s">
        <v>4623</v>
      </c>
      <c r="K2021" s="132" t="s">
        <v>4672</v>
      </c>
      <c r="L2021" s="132" t="s">
        <v>4673</v>
      </c>
      <c r="M2021" s="132" t="s">
        <v>5500</v>
      </c>
      <c r="N2021" s="132" t="s">
        <v>1105</v>
      </c>
      <c r="O2021" s="132" t="s">
        <v>5501</v>
      </c>
      <c r="P2021" s="132" t="s">
        <v>4923</v>
      </c>
      <c r="Q2021" s="132" t="s">
        <v>1108</v>
      </c>
    </row>
    <row r="2022" spans="1:17" x14ac:dyDescent="0.2">
      <c r="A2022" t="s">
        <v>81</v>
      </c>
      <c r="B2022" s="141">
        <f t="shared" si="32"/>
        <v>58.56</v>
      </c>
      <c r="C2022" s="280">
        <v>45902</v>
      </c>
      <c r="D2022" s="279">
        <v>45904</v>
      </c>
      <c r="E2022" s="279">
        <v>45906</v>
      </c>
      <c r="F2022" s="132"/>
      <c r="G2022" s="132" t="s">
        <v>5407</v>
      </c>
      <c r="H2022" s="132" t="s">
        <v>373</v>
      </c>
      <c r="I2022" s="132" t="s">
        <v>1100</v>
      </c>
      <c r="J2022" s="132" t="s">
        <v>4623</v>
      </c>
      <c r="K2022" s="132" t="s">
        <v>4672</v>
      </c>
      <c r="L2022" s="132" t="s">
        <v>4673</v>
      </c>
      <c r="M2022" s="281" t="s">
        <v>5502</v>
      </c>
      <c r="N2022" s="132" t="s">
        <v>1105</v>
      </c>
      <c r="O2022" s="132" t="s">
        <v>5503</v>
      </c>
      <c r="P2022" s="132" t="s">
        <v>4923</v>
      </c>
      <c r="Q2022" s="132" t="s">
        <v>1108</v>
      </c>
    </row>
    <row r="2023" spans="1:17" x14ac:dyDescent="0.2">
      <c r="A2023" t="s">
        <v>81</v>
      </c>
      <c r="B2023" s="141">
        <f t="shared" si="32"/>
        <v>58.56</v>
      </c>
      <c r="C2023" s="280">
        <v>45902</v>
      </c>
      <c r="D2023" s="279">
        <v>45904</v>
      </c>
      <c r="E2023" s="279">
        <v>45906</v>
      </c>
      <c r="F2023" s="132"/>
      <c r="G2023" s="132" t="s">
        <v>5504</v>
      </c>
      <c r="H2023" s="132" t="s">
        <v>373</v>
      </c>
      <c r="I2023" s="132" t="s">
        <v>1100</v>
      </c>
      <c r="J2023" s="132" t="s">
        <v>4623</v>
      </c>
      <c r="K2023" s="132" t="s">
        <v>4672</v>
      </c>
      <c r="L2023" s="132" t="s">
        <v>4673</v>
      </c>
      <c r="M2023" s="132" t="s">
        <v>5505</v>
      </c>
      <c r="N2023" s="132" t="s">
        <v>1105</v>
      </c>
      <c r="O2023" s="132" t="s">
        <v>5506</v>
      </c>
      <c r="P2023" s="132" t="s">
        <v>4923</v>
      </c>
      <c r="Q2023" s="132" t="s">
        <v>1108</v>
      </c>
    </row>
    <row r="2024" spans="1:17" x14ac:dyDescent="0.2">
      <c r="A2024" t="s">
        <v>81</v>
      </c>
      <c r="B2024" s="141">
        <f t="shared" si="32"/>
        <v>58.2</v>
      </c>
      <c r="C2024" s="280">
        <v>45902</v>
      </c>
      <c r="D2024" s="279">
        <v>45903</v>
      </c>
      <c r="E2024" s="279">
        <v>45906</v>
      </c>
      <c r="F2024" s="132"/>
      <c r="G2024" s="132" t="s">
        <v>1108</v>
      </c>
      <c r="H2024" s="132" t="s">
        <v>373</v>
      </c>
      <c r="I2024" s="132" t="s">
        <v>1100</v>
      </c>
      <c r="J2024" s="132" t="s">
        <v>4623</v>
      </c>
      <c r="K2024" s="132" t="s">
        <v>4624</v>
      </c>
      <c r="L2024" s="132" t="s">
        <v>4625</v>
      </c>
      <c r="M2024" s="132" t="s">
        <v>5507</v>
      </c>
      <c r="N2024" s="132" t="s">
        <v>1112</v>
      </c>
      <c r="O2024" s="132" t="s">
        <v>5508</v>
      </c>
      <c r="P2024" s="132" t="s">
        <v>4923</v>
      </c>
      <c r="Q2024" s="132" t="s">
        <v>1108</v>
      </c>
    </row>
    <row r="2025" spans="1:17" x14ac:dyDescent="0.2">
      <c r="A2025" t="s">
        <v>81</v>
      </c>
      <c r="B2025" s="141">
        <f t="shared" si="32"/>
        <v>58.56</v>
      </c>
      <c r="C2025" s="280">
        <v>45902</v>
      </c>
      <c r="D2025" s="279">
        <v>45903</v>
      </c>
      <c r="E2025" s="279">
        <v>45906</v>
      </c>
      <c r="F2025" s="132"/>
      <c r="G2025" s="132" t="s">
        <v>5509</v>
      </c>
      <c r="H2025" s="132" t="s">
        <v>373</v>
      </c>
      <c r="I2025" s="132" t="s">
        <v>1100</v>
      </c>
      <c r="J2025" s="132" t="s">
        <v>4623</v>
      </c>
      <c r="K2025" s="132" t="s">
        <v>4672</v>
      </c>
      <c r="L2025" s="132" t="s">
        <v>4673</v>
      </c>
      <c r="M2025" s="132" t="s">
        <v>5510</v>
      </c>
      <c r="N2025" s="132" t="s">
        <v>1105</v>
      </c>
      <c r="O2025" s="132" t="s">
        <v>5511</v>
      </c>
      <c r="P2025" s="132" t="s">
        <v>4923</v>
      </c>
      <c r="Q2025" s="132" t="s">
        <v>1108</v>
      </c>
    </row>
    <row r="2026" spans="1:17" x14ac:dyDescent="0.2">
      <c r="A2026" t="s">
        <v>81</v>
      </c>
      <c r="B2026" s="141">
        <f t="shared" si="32"/>
        <v>58.2</v>
      </c>
      <c r="C2026" s="280">
        <v>45903</v>
      </c>
      <c r="D2026" s="279">
        <v>45905</v>
      </c>
      <c r="E2026" s="279">
        <v>45906</v>
      </c>
      <c r="F2026" s="132"/>
      <c r="G2026" s="132" t="s">
        <v>1108</v>
      </c>
      <c r="H2026" s="132" t="s">
        <v>373</v>
      </c>
      <c r="I2026" s="132" t="s">
        <v>1100</v>
      </c>
      <c r="J2026" s="132" t="s">
        <v>4623</v>
      </c>
      <c r="K2026" s="132" t="s">
        <v>4624</v>
      </c>
      <c r="L2026" s="132" t="s">
        <v>4625</v>
      </c>
      <c r="M2026" s="132" t="s">
        <v>5512</v>
      </c>
      <c r="N2026" s="132" t="s">
        <v>1112</v>
      </c>
      <c r="O2026" s="132" t="s">
        <v>5513</v>
      </c>
      <c r="P2026" s="132" t="s">
        <v>4923</v>
      </c>
      <c r="Q2026" s="132" t="s">
        <v>1108</v>
      </c>
    </row>
    <row r="2027" spans="1:17" x14ac:dyDescent="0.2">
      <c r="A2027" t="s">
        <v>81</v>
      </c>
      <c r="B2027" s="141">
        <f t="shared" si="32"/>
        <v>58.56</v>
      </c>
      <c r="C2027" s="280">
        <v>45903</v>
      </c>
      <c r="D2027" s="279">
        <v>45905</v>
      </c>
      <c r="E2027" s="279">
        <v>45906</v>
      </c>
      <c r="F2027" s="132"/>
      <c r="G2027" s="132" t="s">
        <v>5514</v>
      </c>
      <c r="H2027" s="132" t="s">
        <v>373</v>
      </c>
      <c r="I2027" s="132" t="s">
        <v>1100</v>
      </c>
      <c r="J2027" s="132" t="s">
        <v>4623</v>
      </c>
      <c r="K2027" s="132" t="s">
        <v>4672</v>
      </c>
      <c r="L2027" s="132" t="s">
        <v>4673</v>
      </c>
      <c r="M2027" s="132" t="s">
        <v>5515</v>
      </c>
      <c r="N2027" s="132" t="s">
        <v>1105</v>
      </c>
      <c r="O2027" s="132" t="s">
        <v>5516</v>
      </c>
      <c r="P2027" s="132" t="s">
        <v>4923</v>
      </c>
      <c r="Q2027" s="132" t="s">
        <v>1108</v>
      </c>
    </row>
    <row r="2028" spans="1:17" x14ac:dyDescent="0.2">
      <c r="A2028" t="s">
        <v>81</v>
      </c>
      <c r="B2028" s="141">
        <f t="shared" si="32"/>
        <v>58.56</v>
      </c>
      <c r="C2028" s="280">
        <v>45903</v>
      </c>
      <c r="D2028" s="279">
        <v>45905</v>
      </c>
      <c r="E2028" s="279">
        <v>45906</v>
      </c>
      <c r="F2028" s="132"/>
      <c r="G2028" s="132" t="s">
        <v>5517</v>
      </c>
      <c r="H2028" s="132" t="s">
        <v>373</v>
      </c>
      <c r="I2028" s="132" t="s">
        <v>1100</v>
      </c>
      <c r="J2028" s="132" t="s">
        <v>4623</v>
      </c>
      <c r="K2028" s="132" t="s">
        <v>4672</v>
      </c>
      <c r="L2028" s="132" t="s">
        <v>4673</v>
      </c>
      <c r="M2028" s="132" t="s">
        <v>5518</v>
      </c>
      <c r="N2028" s="132" t="s">
        <v>1105</v>
      </c>
      <c r="O2028" s="281" t="s">
        <v>5519</v>
      </c>
      <c r="P2028" s="132" t="s">
        <v>4923</v>
      </c>
      <c r="Q2028" s="132" t="s">
        <v>1108</v>
      </c>
    </row>
    <row r="2029" spans="1:17" x14ac:dyDescent="0.2">
      <c r="A2029" t="s">
        <v>81</v>
      </c>
      <c r="B2029" s="141">
        <f t="shared" si="32"/>
        <v>42.6</v>
      </c>
      <c r="C2029" s="280">
        <v>45903</v>
      </c>
      <c r="D2029" s="279">
        <v>45905</v>
      </c>
      <c r="E2029" s="279">
        <v>45906</v>
      </c>
      <c r="F2029" s="132"/>
      <c r="G2029" s="132" t="s">
        <v>1108</v>
      </c>
      <c r="H2029" s="132" t="s">
        <v>373</v>
      </c>
      <c r="I2029" s="132" t="s">
        <v>1100</v>
      </c>
      <c r="J2029" s="132" t="s">
        <v>4790</v>
      </c>
      <c r="K2029" s="132" t="s">
        <v>2463</v>
      </c>
      <c r="L2029" s="132" t="s">
        <v>5014</v>
      </c>
      <c r="M2029" s="132" t="s">
        <v>5520</v>
      </c>
      <c r="N2029" s="132" t="s">
        <v>1112</v>
      </c>
      <c r="O2029" s="132" t="s">
        <v>5521</v>
      </c>
      <c r="P2029" s="132" t="s">
        <v>4923</v>
      </c>
      <c r="Q2029" s="132" t="s">
        <v>1108</v>
      </c>
    </row>
    <row r="2030" spans="1:17" x14ac:dyDescent="0.2">
      <c r="A2030" t="s">
        <v>81</v>
      </c>
      <c r="B2030" s="141">
        <f t="shared" ref="B2030:B2093" si="33">_xlfn.NUMBERVALUE(L2030)*0.01</f>
        <v>58.56</v>
      </c>
      <c r="C2030" s="280">
        <v>45903</v>
      </c>
      <c r="D2030" s="279">
        <v>45905</v>
      </c>
      <c r="E2030" s="279">
        <v>45906</v>
      </c>
      <c r="F2030" s="132"/>
      <c r="G2030" s="132" t="s">
        <v>4824</v>
      </c>
      <c r="H2030" s="132" t="s">
        <v>373</v>
      </c>
      <c r="I2030" s="132" t="s">
        <v>1100</v>
      </c>
      <c r="J2030" s="132" t="s">
        <v>4623</v>
      </c>
      <c r="K2030" s="132" t="s">
        <v>4672</v>
      </c>
      <c r="L2030" s="132" t="s">
        <v>4673</v>
      </c>
      <c r="M2030" s="132" t="s">
        <v>5522</v>
      </c>
      <c r="N2030" s="132" t="s">
        <v>1105</v>
      </c>
      <c r="O2030" s="132" t="s">
        <v>5523</v>
      </c>
      <c r="P2030" s="132" t="s">
        <v>4923</v>
      </c>
      <c r="Q2030" s="132" t="s">
        <v>1108</v>
      </c>
    </row>
    <row r="2031" spans="1:17" x14ac:dyDescent="0.2">
      <c r="A2031" t="s">
        <v>81</v>
      </c>
      <c r="B2031" s="141">
        <f t="shared" si="33"/>
        <v>58.56</v>
      </c>
      <c r="C2031" s="280">
        <v>45903</v>
      </c>
      <c r="D2031" s="279">
        <v>45905</v>
      </c>
      <c r="E2031" s="279">
        <v>45906</v>
      </c>
      <c r="F2031" s="132"/>
      <c r="G2031" s="132" t="s">
        <v>5145</v>
      </c>
      <c r="H2031" s="132" t="s">
        <v>373</v>
      </c>
      <c r="I2031" s="132" t="s">
        <v>1100</v>
      </c>
      <c r="J2031" s="132" t="s">
        <v>4623</v>
      </c>
      <c r="K2031" s="132" t="s">
        <v>4672</v>
      </c>
      <c r="L2031" s="132" t="s">
        <v>4673</v>
      </c>
      <c r="M2031" s="132" t="s">
        <v>5524</v>
      </c>
      <c r="N2031" s="132" t="s">
        <v>1105</v>
      </c>
      <c r="O2031" s="132" t="s">
        <v>5525</v>
      </c>
      <c r="P2031" s="132" t="s">
        <v>4923</v>
      </c>
      <c r="Q2031" s="132" t="s">
        <v>1108</v>
      </c>
    </row>
    <row r="2032" spans="1:17" x14ac:dyDescent="0.2">
      <c r="A2032" t="s">
        <v>81</v>
      </c>
      <c r="B2032" s="141">
        <f t="shared" si="33"/>
        <v>58.56</v>
      </c>
      <c r="C2032" s="280">
        <v>45903</v>
      </c>
      <c r="D2032" s="279">
        <v>45905</v>
      </c>
      <c r="E2032" s="279">
        <v>45906</v>
      </c>
      <c r="F2032" s="132"/>
      <c r="G2032" s="132" t="s">
        <v>5526</v>
      </c>
      <c r="H2032" s="132" t="s">
        <v>373</v>
      </c>
      <c r="I2032" s="132" t="s">
        <v>1100</v>
      </c>
      <c r="J2032" s="132" t="s">
        <v>4623</v>
      </c>
      <c r="K2032" s="132" t="s">
        <v>4672</v>
      </c>
      <c r="L2032" s="132" t="s">
        <v>4673</v>
      </c>
      <c r="M2032" s="132" t="s">
        <v>5527</v>
      </c>
      <c r="N2032" s="132" t="s">
        <v>1105</v>
      </c>
      <c r="O2032" s="132" t="s">
        <v>5528</v>
      </c>
      <c r="P2032" s="132" t="s">
        <v>4923</v>
      </c>
      <c r="Q2032" s="132" t="s">
        <v>1108</v>
      </c>
    </row>
    <row r="2033" spans="1:17" x14ac:dyDescent="0.2">
      <c r="A2033" t="s">
        <v>81</v>
      </c>
      <c r="B2033" s="141">
        <f t="shared" si="33"/>
        <v>58.56</v>
      </c>
      <c r="C2033" s="280">
        <v>45903</v>
      </c>
      <c r="D2033" s="279">
        <v>45905</v>
      </c>
      <c r="E2033" s="279">
        <v>45906</v>
      </c>
      <c r="F2033" s="132"/>
      <c r="G2033" s="132" t="s">
        <v>5529</v>
      </c>
      <c r="H2033" s="132" t="s">
        <v>373</v>
      </c>
      <c r="I2033" s="132" t="s">
        <v>1100</v>
      </c>
      <c r="J2033" s="132" t="s">
        <v>4623</v>
      </c>
      <c r="K2033" s="132" t="s">
        <v>4672</v>
      </c>
      <c r="L2033" s="132" t="s">
        <v>4673</v>
      </c>
      <c r="M2033" s="132" t="s">
        <v>5530</v>
      </c>
      <c r="N2033" s="132" t="s">
        <v>1105</v>
      </c>
      <c r="O2033" s="132" t="s">
        <v>5531</v>
      </c>
      <c r="P2033" s="132" t="s">
        <v>4923</v>
      </c>
      <c r="Q2033" s="132" t="s">
        <v>1108</v>
      </c>
    </row>
    <row r="2034" spans="1:17" x14ac:dyDescent="0.2">
      <c r="A2034" t="s">
        <v>81</v>
      </c>
      <c r="B2034" s="141">
        <f t="shared" si="33"/>
        <v>58.56</v>
      </c>
      <c r="C2034" s="280">
        <v>45903</v>
      </c>
      <c r="D2034" s="279">
        <v>45905</v>
      </c>
      <c r="E2034" s="279">
        <v>45906</v>
      </c>
      <c r="F2034" s="132"/>
      <c r="G2034" s="132" t="s">
        <v>4667</v>
      </c>
      <c r="H2034" s="132" t="s">
        <v>373</v>
      </c>
      <c r="I2034" s="132" t="s">
        <v>1100</v>
      </c>
      <c r="J2034" s="132" t="s">
        <v>4623</v>
      </c>
      <c r="K2034" s="132" t="s">
        <v>4672</v>
      </c>
      <c r="L2034" s="132" t="s">
        <v>4673</v>
      </c>
      <c r="M2034" s="132" t="s">
        <v>5532</v>
      </c>
      <c r="N2034" s="132" t="s">
        <v>1105</v>
      </c>
      <c r="O2034" s="281" t="s">
        <v>5533</v>
      </c>
      <c r="P2034" s="132" t="s">
        <v>4923</v>
      </c>
      <c r="Q2034" s="132" t="s">
        <v>1108</v>
      </c>
    </row>
    <row r="2035" spans="1:17" x14ac:dyDescent="0.2">
      <c r="A2035" t="s">
        <v>81</v>
      </c>
      <c r="B2035" s="141">
        <f t="shared" si="33"/>
        <v>58.56</v>
      </c>
      <c r="C2035" s="280">
        <v>45903</v>
      </c>
      <c r="D2035" s="279">
        <v>45905</v>
      </c>
      <c r="E2035" s="279">
        <v>45906</v>
      </c>
      <c r="F2035" s="132"/>
      <c r="G2035" s="132" t="s">
        <v>4864</v>
      </c>
      <c r="H2035" s="132" t="s">
        <v>373</v>
      </c>
      <c r="I2035" s="132" t="s">
        <v>1100</v>
      </c>
      <c r="J2035" s="132" t="s">
        <v>4623</v>
      </c>
      <c r="K2035" s="132" t="s">
        <v>4672</v>
      </c>
      <c r="L2035" s="132" t="s">
        <v>4673</v>
      </c>
      <c r="M2035" s="132" t="s">
        <v>5534</v>
      </c>
      <c r="N2035" s="132" t="s">
        <v>1105</v>
      </c>
      <c r="O2035" s="132" t="s">
        <v>5535</v>
      </c>
      <c r="P2035" s="132" t="s">
        <v>4923</v>
      </c>
      <c r="Q2035" s="132" t="s">
        <v>1108</v>
      </c>
    </row>
    <row r="2036" spans="1:17" x14ac:dyDescent="0.2">
      <c r="A2036" t="s">
        <v>81</v>
      </c>
      <c r="B2036" s="141">
        <f t="shared" si="33"/>
        <v>58.2</v>
      </c>
      <c r="C2036" s="280">
        <v>45903</v>
      </c>
      <c r="D2036" s="279">
        <v>45905</v>
      </c>
      <c r="E2036" s="279">
        <v>45906</v>
      </c>
      <c r="F2036" s="132"/>
      <c r="G2036" s="132" t="s">
        <v>1108</v>
      </c>
      <c r="H2036" s="132" t="s">
        <v>373</v>
      </c>
      <c r="I2036" s="132" t="s">
        <v>1100</v>
      </c>
      <c r="J2036" s="132" t="s">
        <v>4623</v>
      </c>
      <c r="K2036" s="132" t="s">
        <v>4624</v>
      </c>
      <c r="L2036" s="132" t="s">
        <v>4625</v>
      </c>
      <c r="M2036" s="132" t="s">
        <v>5536</v>
      </c>
      <c r="N2036" s="132" t="s">
        <v>1112</v>
      </c>
      <c r="O2036" s="132" t="s">
        <v>5537</v>
      </c>
      <c r="P2036" s="132" t="s">
        <v>4923</v>
      </c>
      <c r="Q2036" s="132" t="s">
        <v>1108</v>
      </c>
    </row>
    <row r="2037" spans="1:17" x14ac:dyDescent="0.2">
      <c r="A2037" t="s">
        <v>81</v>
      </c>
      <c r="B2037" s="141">
        <f t="shared" si="33"/>
        <v>58.56</v>
      </c>
      <c r="C2037" s="280">
        <v>45903</v>
      </c>
      <c r="D2037" s="279">
        <v>45905</v>
      </c>
      <c r="E2037" s="279">
        <v>45906</v>
      </c>
      <c r="F2037" s="132"/>
      <c r="G2037" s="132" t="s">
        <v>5538</v>
      </c>
      <c r="H2037" s="132" t="s">
        <v>373</v>
      </c>
      <c r="I2037" s="132" t="s">
        <v>1100</v>
      </c>
      <c r="J2037" s="132" t="s">
        <v>4623</v>
      </c>
      <c r="K2037" s="132" t="s">
        <v>4672</v>
      </c>
      <c r="L2037" s="132" t="s">
        <v>4673</v>
      </c>
      <c r="M2037" s="132" t="s">
        <v>5539</v>
      </c>
      <c r="N2037" s="132" t="s">
        <v>1105</v>
      </c>
      <c r="O2037" s="132" t="s">
        <v>5540</v>
      </c>
      <c r="P2037" s="132" t="s">
        <v>4923</v>
      </c>
      <c r="Q2037" s="132" t="s">
        <v>1108</v>
      </c>
    </row>
    <row r="2038" spans="1:17" x14ac:dyDescent="0.2">
      <c r="A2038" t="s">
        <v>81</v>
      </c>
      <c r="B2038" s="141">
        <f t="shared" si="33"/>
        <v>58.2</v>
      </c>
      <c r="C2038" s="280">
        <v>45903</v>
      </c>
      <c r="D2038" s="279">
        <v>45905</v>
      </c>
      <c r="E2038" s="279">
        <v>45906</v>
      </c>
      <c r="F2038" s="132"/>
      <c r="G2038" s="132" t="s">
        <v>1108</v>
      </c>
      <c r="H2038" s="132" t="s">
        <v>373</v>
      </c>
      <c r="I2038" s="132" t="s">
        <v>1100</v>
      </c>
      <c r="J2038" s="132" t="s">
        <v>4623</v>
      </c>
      <c r="K2038" s="132" t="s">
        <v>4624</v>
      </c>
      <c r="L2038" s="132" t="s">
        <v>4625</v>
      </c>
      <c r="M2038" s="132" t="s">
        <v>5541</v>
      </c>
      <c r="N2038" s="132" t="s">
        <v>1112</v>
      </c>
      <c r="O2038" s="132" t="s">
        <v>5542</v>
      </c>
      <c r="P2038" s="132" t="s">
        <v>4923</v>
      </c>
      <c r="Q2038" s="132" t="s">
        <v>1108</v>
      </c>
    </row>
    <row r="2039" spans="1:17" x14ac:dyDescent="0.2">
      <c r="A2039" t="s">
        <v>81</v>
      </c>
      <c r="B2039" s="141">
        <f t="shared" si="33"/>
        <v>58.56</v>
      </c>
      <c r="C2039" s="280">
        <v>45903</v>
      </c>
      <c r="D2039" s="279">
        <v>45905</v>
      </c>
      <c r="E2039" s="279">
        <v>45906</v>
      </c>
      <c r="F2039" s="132"/>
      <c r="G2039" s="132" t="s">
        <v>5543</v>
      </c>
      <c r="H2039" s="132" t="s">
        <v>373</v>
      </c>
      <c r="I2039" s="132" t="s">
        <v>1100</v>
      </c>
      <c r="J2039" s="132" t="s">
        <v>4623</v>
      </c>
      <c r="K2039" s="132" t="s">
        <v>4672</v>
      </c>
      <c r="L2039" s="132" t="s">
        <v>4673</v>
      </c>
      <c r="M2039" s="132" t="s">
        <v>5544</v>
      </c>
      <c r="N2039" s="132" t="s">
        <v>1105</v>
      </c>
      <c r="O2039" s="132" t="s">
        <v>5545</v>
      </c>
      <c r="P2039" s="132" t="s">
        <v>4923</v>
      </c>
      <c r="Q2039" s="132" t="s">
        <v>1108</v>
      </c>
    </row>
    <row r="2040" spans="1:17" x14ac:dyDescent="0.2">
      <c r="A2040" t="s">
        <v>81</v>
      </c>
      <c r="B2040" s="141">
        <f t="shared" si="33"/>
        <v>58.56</v>
      </c>
      <c r="C2040" s="280">
        <v>45903</v>
      </c>
      <c r="D2040" s="279">
        <v>45905</v>
      </c>
      <c r="E2040" s="279">
        <v>45906</v>
      </c>
      <c r="F2040" s="132"/>
      <c r="G2040" s="132" t="s">
        <v>5546</v>
      </c>
      <c r="H2040" s="132" t="s">
        <v>373</v>
      </c>
      <c r="I2040" s="132" t="s">
        <v>1100</v>
      </c>
      <c r="J2040" s="132" t="s">
        <v>4623</v>
      </c>
      <c r="K2040" s="132" t="s">
        <v>4672</v>
      </c>
      <c r="L2040" s="132" t="s">
        <v>4673</v>
      </c>
      <c r="M2040" s="132" t="s">
        <v>5547</v>
      </c>
      <c r="N2040" s="132" t="s">
        <v>1105</v>
      </c>
      <c r="O2040" s="132" t="s">
        <v>5548</v>
      </c>
      <c r="P2040" s="132" t="s">
        <v>4923</v>
      </c>
      <c r="Q2040" s="132" t="s">
        <v>1108</v>
      </c>
    </row>
    <row r="2041" spans="1:17" x14ac:dyDescent="0.2">
      <c r="A2041" t="s">
        <v>81</v>
      </c>
      <c r="B2041" s="141">
        <f t="shared" si="33"/>
        <v>58.56</v>
      </c>
      <c r="C2041" s="280">
        <v>45903</v>
      </c>
      <c r="D2041" s="279">
        <v>45905</v>
      </c>
      <c r="E2041" s="279">
        <v>45906</v>
      </c>
      <c r="F2041" s="132"/>
      <c r="G2041" s="132" t="s">
        <v>5549</v>
      </c>
      <c r="H2041" s="132" t="s">
        <v>373</v>
      </c>
      <c r="I2041" s="132" t="s">
        <v>1100</v>
      </c>
      <c r="J2041" s="132" t="s">
        <v>4623</v>
      </c>
      <c r="K2041" s="132" t="s">
        <v>4672</v>
      </c>
      <c r="L2041" s="132" t="s">
        <v>4673</v>
      </c>
      <c r="M2041" s="132" t="s">
        <v>5550</v>
      </c>
      <c r="N2041" s="132" t="s">
        <v>1105</v>
      </c>
      <c r="O2041" s="132" t="s">
        <v>5551</v>
      </c>
      <c r="P2041" s="132" t="s">
        <v>4923</v>
      </c>
      <c r="Q2041" s="132" t="s">
        <v>1108</v>
      </c>
    </row>
    <row r="2042" spans="1:17" x14ac:dyDescent="0.2">
      <c r="A2042" t="s">
        <v>81</v>
      </c>
      <c r="B2042" s="141">
        <f t="shared" si="33"/>
        <v>58.56</v>
      </c>
      <c r="C2042" s="280">
        <v>45903</v>
      </c>
      <c r="D2042" s="279">
        <v>45905</v>
      </c>
      <c r="E2042" s="279">
        <v>45906</v>
      </c>
      <c r="F2042" s="132"/>
      <c r="G2042" s="132" t="s">
        <v>4721</v>
      </c>
      <c r="H2042" s="132" t="s">
        <v>373</v>
      </c>
      <c r="I2042" s="132" t="s">
        <v>1100</v>
      </c>
      <c r="J2042" s="132" t="s">
        <v>4623</v>
      </c>
      <c r="K2042" s="132" t="s">
        <v>4672</v>
      </c>
      <c r="L2042" s="132" t="s">
        <v>4673</v>
      </c>
      <c r="M2042" s="132" t="s">
        <v>5552</v>
      </c>
      <c r="N2042" s="132" t="s">
        <v>1105</v>
      </c>
      <c r="O2042" s="132" t="s">
        <v>5553</v>
      </c>
      <c r="P2042" s="132" t="s">
        <v>4923</v>
      </c>
      <c r="Q2042" s="132" t="s">
        <v>1108</v>
      </c>
    </row>
    <row r="2043" spans="1:17" x14ac:dyDescent="0.2">
      <c r="A2043" t="s">
        <v>81</v>
      </c>
      <c r="B2043" s="141">
        <f t="shared" si="33"/>
        <v>58.56</v>
      </c>
      <c r="C2043" s="280">
        <v>45903</v>
      </c>
      <c r="D2043" s="279">
        <v>45905</v>
      </c>
      <c r="E2043" s="279">
        <v>45906</v>
      </c>
      <c r="F2043" s="132"/>
      <c r="G2043" s="132" t="s">
        <v>4858</v>
      </c>
      <c r="H2043" s="132" t="s">
        <v>373</v>
      </c>
      <c r="I2043" s="132" t="s">
        <v>1100</v>
      </c>
      <c r="J2043" s="132" t="s">
        <v>4623</v>
      </c>
      <c r="K2043" s="132" t="s">
        <v>4672</v>
      </c>
      <c r="L2043" s="132" t="s">
        <v>4673</v>
      </c>
      <c r="M2043" s="132" t="s">
        <v>5554</v>
      </c>
      <c r="N2043" s="132" t="s">
        <v>1105</v>
      </c>
      <c r="O2043" s="132" t="s">
        <v>5555</v>
      </c>
      <c r="P2043" s="132" t="s">
        <v>4923</v>
      </c>
      <c r="Q2043" s="132" t="s">
        <v>1108</v>
      </c>
    </row>
    <row r="2044" spans="1:17" x14ac:dyDescent="0.2">
      <c r="A2044" t="s">
        <v>81</v>
      </c>
      <c r="B2044" s="141">
        <f t="shared" si="33"/>
        <v>58.2</v>
      </c>
      <c r="C2044" s="280">
        <v>45903</v>
      </c>
      <c r="D2044" s="279">
        <v>45905</v>
      </c>
      <c r="E2044" s="279">
        <v>45906</v>
      </c>
      <c r="F2044" s="132"/>
      <c r="G2044" s="132" t="s">
        <v>1108</v>
      </c>
      <c r="H2044" s="132" t="s">
        <v>373</v>
      </c>
      <c r="I2044" s="132" t="s">
        <v>1100</v>
      </c>
      <c r="J2044" s="132" t="s">
        <v>4623</v>
      </c>
      <c r="K2044" s="132" t="s">
        <v>4624</v>
      </c>
      <c r="L2044" s="132" t="s">
        <v>4625</v>
      </c>
      <c r="M2044" s="132" t="s">
        <v>5556</v>
      </c>
      <c r="N2044" s="132" t="s">
        <v>1112</v>
      </c>
      <c r="O2044" s="132" t="s">
        <v>5557</v>
      </c>
      <c r="P2044" s="132" t="s">
        <v>4923</v>
      </c>
      <c r="Q2044" s="132" t="s">
        <v>1108</v>
      </c>
    </row>
    <row r="2045" spans="1:17" x14ac:dyDescent="0.2">
      <c r="A2045" t="s">
        <v>81</v>
      </c>
      <c r="B2045" s="141">
        <f t="shared" si="33"/>
        <v>58.56</v>
      </c>
      <c r="C2045" s="280">
        <v>45903</v>
      </c>
      <c r="D2045" s="279">
        <v>45905</v>
      </c>
      <c r="E2045" s="279">
        <v>45906</v>
      </c>
      <c r="F2045" s="132"/>
      <c r="G2045" s="132" t="s">
        <v>5558</v>
      </c>
      <c r="H2045" s="132" t="s">
        <v>373</v>
      </c>
      <c r="I2045" s="132" t="s">
        <v>1100</v>
      </c>
      <c r="J2045" s="132" t="s">
        <v>4623</v>
      </c>
      <c r="K2045" s="132" t="s">
        <v>4672</v>
      </c>
      <c r="L2045" s="132" t="s">
        <v>4673</v>
      </c>
      <c r="M2045" s="132" t="s">
        <v>5559</v>
      </c>
      <c r="N2045" s="132" t="s">
        <v>1105</v>
      </c>
      <c r="O2045" s="132" t="s">
        <v>5560</v>
      </c>
      <c r="P2045" s="132" t="s">
        <v>4923</v>
      </c>
      <c r="Q2045" s="132" t="s">
        <v>1108</v>
      </c>
    </row>
    <row r="2046" spans="1:17" x14ac:dyDescent="0.2">
      <c r="A2046" t="s">
        <v>81</v>
      </c>
      <c r="B2046" s="141">
        <f t="shared" si="33"/>
        <v>58.2</v>
      </c>
      <c r="C2046" s="280">
        <v>45903</v>
      </c>
      <c r="D2046" s="279">
        <v>45905</v>
      </c>
      <c r="E2046" s="279">
        <v>45906</v>
      </c>
      <c r="F2046" s="132"/>
      <c r="G2046" s="132" t="s">
        <v>1108</v>
      </c>
      <c r="H2046" s="132" t="s">
        <v>373</v>
      </c>
      <c r="I2046" s="132" t="s">
        <v>1100</v>
      </c>
      <c r="J2046" s="132" t="s">
        <v>4623</v>
      </c>
      <c r="K2046" s="132" t="s">
        <v>4624</v>
      </c>
      <c r="L2046" s="132" t="s">
        <v>4625</v>
      </c>
      <c r="M2046" s="132" t="s">
        <v>5561</v>
      </c>
      <c r="N2046" s="132" t="s">
        <v>1112</v>
      </c>
      <c r="O2046" s="132" t="s">
        <v>5562</v>
      </c>
      <c r="P2046" s="132" t="s">
        <v>4923</v>
      </c>
      <c r="Q2046" s="132" t="s">
        <v>1108</v>
      </c>
    </row>
    <row r="2047" spans="1:17" x14ac:dyDescent="0.2">
      <c r="A2047" t="s">
        <v>81</v>
      </c>
      <c r="B2047" s="141">
        <f t="shared" si="33"/>
        <v>58.56</v>
      </c>
      <c r="C2047" s="280">
        <v>45903</v>
      </c>
      <c r="D2047" s="279">
        <v>45905</v>
      </c>
      <c r="E2047" s="279">
        <v>45906</v>
      </c>
      <c r="F2047" s="132"/>
      <c r="G2047" s="132" t="s">
        <v>4651</v>
      </c>
      <c r="H2047" s="132" t="s">
        <v>373</v>
      </c>
      <c r="I2047" s="132" t="s">
        <v>1100</v>
      </c>
      <c r="J2047" s="132" t="s">
        <v>4623</v>
      </c>
      <c r="K2047" s="132" t="s">
        <v>4672</v>
      </c>
      <c r="L2047" s="132" t="s">
        <v>4673</v>
      </c>
      <c r="M2047" s="132" t="s">
        <v>5563</v>
      </c>
      <c r="N2047" s="132" t="s">
        <v>1105</v>
      </c>
      <c r="O2047" s="132" t="s">
        <v>5564</v>
      </c>
      <c r="P2047" s="132" t="s">
        <v>4923</v>
      </c>
      <c r="Q2047" s="132" t="s">
        <v>1108</v>
      </c>
    </row>
    <row r="2048" spans="1:17" x14ac:dyDescent="0.2">
      <c r="A2048" t="s">
        <v>81</v>
      </c>
      <c r="B2048" s="141">
        <f t="shared" si="33"/>
        <v>58.56</v>
      </c>
      <c r="C2048" s="280">
        <v>45903</v>
      </c>
      <c r="D2048" s="279">
        <v>45905</v>
      </c>
      <c r="E2048" s="279">
        <v>45906</v>
      </c>
      <c r="F2048" s="132"/>
      <c r="G2048" s="132" t="s">
        <v>5565</v>
      </c>
      <c r="H2048" s="132" t="s">
        <v>373</v>
      </c>
      <c r="I2048" s="132" t="s">
        <v>1100</v>
      </c>
      <c r="J2048" s="132" t="s">
        <v>4623</v>
      </c>
      <c r="K2048" s="132" t="s">
        <v>4672</v>
      </c>
      <c r="L2048" s="132" t="s">
        <v>4673</v>
      </c>
      <c r="M2048" s="132" t="s">
        <v>5566</v>
      </c>
      <c r="N2048" s="132" t="s">
        <v>1105</v>
      </c>
      <c r="O2048" s="132" t="s">
        <v>5567</v>
      </c>
      <c r="P2048" s="132" t="s">
        <v>4923</v>
      </c>
      <c r="Q2048" s="132" t="s">
        <v>1108</v>
      </c>
    </row>
    <row r="2049" spans="1:17" x14ac:dyDescent="0.2">
      <c r="A2049" t="s">
        <v>81</v>
      </c>
      <c r="B2049" s="141">
        <f t="shared" si="33"/>
        <v>58.56</v>
      </c>
      <c r="C2049" s="280">
        <v>45903</v>
      </c>
      <c r="D2049" s="279">
        <v>45905</v>
      </c>
      <c r="E2049" s="279">
        <v>45906</v>
      </c>
      <c r="F2049" s="132"/>
      <c r="G2049" s="132" t="s">
        <v>5568</v>
      </c>
      <c r="H2049" s="132" t="s">
        <v>373</v>
      </c>
      <c r="I2049" s="132" t="s">
        <v>1100</v>
      </c>
      <c r="J2049" s="132" t="s">
        <v>4623</v>
      </c>
      <c r="K2049" s="132" t="s">
        <v>4672</v>
      </c>
      <c r="L2049" s="132" t="s">
        <v>4673</v>
      </c>
      <c r="M2049" s="132" t="s">
        <v>5569</v>
      </c>
      <c r="N2049" s="132" t="s">
        <v>1105</v>
      </c>
      <c r="O2049" s="132" t="s">
        <v>5570</v>
      </c>
      <c r="P2049" s="132" t="s">
        <v>4923</v>
      </c>
      <c r="Q2049" s="132" t="s">
        <v>1108</v>
      </c>
    </row>
    <row r="2050" spans="1:17" x14ac:dyDescent="0.2">
      <c r="A2050" t="s">
        <v>81</v>
      </c>
      <c r="B2050" s="141">
        <f t="shared" si="33"/>
        <v>58.56</v>
      </c>
      <c r="C2050" s="280">
        <v>45903</v>
      </c>
      <c r="D2050" s="279">
        <v>45905</v>
      </c>
      <c r="E2050" s="279">
        <v>45906</v>
      </c>
      <c r="F2050" s="132"/>
      <c r="G2050" s="132" t="s">
        <v>5571</v>
      </c>
      <c r="H2050" s="132" t="s">
        <v>373</v>
      </c>
      <c r="I2050" s="132" t="s">
        <v>1100</v>
      </c>
      <c r="J2050" s="132" t="s">
        <v>4623</v>
      </c>
      <c r="K2050" s="132" t="s">
        <v>4672</v>
      </c>
      <c r="L2050" s="132" t="s">
        <v>4673</v>
      </c>
      <c r="M2050" s="132" t="s">
        <v>5572</v>
      </c>
      <c r="N2050" s="132" t="s">
        <v>1105</v>
      </c>
      <c r="O2050" s="132" t="s">
        <v>5573</v>
      </c>
      <c r="P2050" s="132" t="s">
        <v>4923</v>
      </c>
      <c r="Q2050" s="132" t="s">
        <v>1108</v>
      </c>
    </row>
    <row r="2051" spans="1:17" x14ac:dyDescent="0.2">
      <c r="A2051" t="s">
        <v>81</v>
      </c>
      <c r="B2051" s="141">
        <f t="shared" si="33"/>
        <v>58.2</v>
      </c>
      <c r="C2051" s="280">
        <v>45903</v>
      </c>
      <c r="D2051" s="279">
        <v>45905</v>
      </c>
      <c r="E2051" s="279">
        <v>45906</v>
      </c>
      <c r="F2051" s="132"/>
      <c r="G2051" s="132" t="s">
        <v>1108</v>
      </c>
      <c r="H2051" s="132" t="s">
        <v>373</v>
      </c>
      <c r="I2051" s="132" t="s">
        <v>1100</v>
      </c>
      <c r="J2051" s="132" t="s">
        <v>4623</v>
      </c>
      <c r="K2051" s="132" t="s">
        <v>4624</v>
      </c>
      <c r="L2051" s="132" t="s">
        <v>4625</v>
      </c>
      <c r="M2051" s="132" t="s">
        <v>5574</v>
      </c>
      <c r="N2051" s="132" t="s">
        <v>1112</v>
      </c>
      <c r="O2051" s="132" t="s">
        <v>5575</v>
      </c>
      <c r="P2051" s="132" t="s">
        <v>4923</v>
      </c>
      <c r="Q2051" s="132" t="s">
        <v>1108</v>
      </c>
    </row>
    <row r="2052" spans="1:17" x14ac:dyDescent="0.2">
      <c r="A2052" t="s">
        <v>81</v>
      </c>
      <c r="B2052" s="141">
        <f t="shared" si="33"/>
        <v>58.2</v>
      </c>
      <c r="C2052" s="280">
        <v>45903</v>
      </c>
      <c r="D2052" s="279">
        <v>45905</v>
      </c>
      <c r="E2052" s="279">
        <v>45906</v>
      </c>
      <c r="F2052" s="132"/>
      <c r="G2052" s="132" t="s">
        <v>1108</v>
      </c>
      <c r="H2052" s="132" t="s">
        <v>373</v>
      </c>
      <c r="I2052" s="132" t="s">
        <v>1100</v>
      </c>
      <c r="J2052" s="132" t="s">
        <v>4623</v>
      </c>
      <c r="K2052" s="132" t="s">
        <v>4624</v>
      </c>
      <c r="L2052" s="132" t="s">
        <v>4625</v>
      </c>
      <c r="M2052" s="132" t="s">
        <v>5576</v>
      </c>
      <c r="N2052" s="132" t="s">
        <v>1112</v>
      </c>
      <c r="O2052" s="132" t="s">
        <v>5577</v>
      </c>
      <c r="P2052" s="132" t="s">
        <v>4923</v>
      </c>
      <c r="Q2052" s="132" t="s">
        <v>1108</v>
      </c>
    </row>
    <row r="2053" spans="1:17" x14ac:dyDescent="0.2">
      <c r="A2053" t="s">
        <v>81</v>
      </c>
      <c r="B2053" s="141">
        <f t="shared" si="33"/>
        <v>58.56</v>
      </c>
      <c r="C2053" s="280">
        <v>45903</v>
      </c>
      <c r="D2053" s="279">
        <v>45905</v>
      </c>
      <c r="E2053" s="279">
        <v>45906</v>
      </c>
      <c r="F2053" s="132"/>
      <c r="G2053" s="132" t="s">
        <v>5578</v>
      </c>
      <c r="H2053" s="132" t="s">
        <v>373</v>
      </c>
      <c r="I2053" s="132" t="s">
        <v>1100</v>
      </c>
      <c r="J2053" s="132" t="s">
        <v>4623</v>
      </c>
      <c r="K2053" s="132" t="s">
        <v>4672</v>
      </c>
      <c r="L2053" s="132" t="s">
        <v>4673</v>
      </c>
      <c r="M2053" s="132" t="s">
        <v>5579</v>
      </c>
      <c r="N2053" s="132" t="s">
        <v>1105</v>
      </c>
      <c r="O2053" s="132" t="s">
        <v>5580</v>
      </c>
      <c r="P2053" s="132" t="s">
        <v>4923</v>
      </c>
      <c r="Q2053" s="132" t="s">
        <v>1108</v>
      </c>
    </row>
    <row r="2054" spans="1:17" x14ac:dyDescent="0.2">
      <c r="A2054" t="s">
        <v>81</v>
      </c>
      <c r="B2054" s="141">
        <f t="shared" si="33"/>
        <v>58.2</v>
      </c>
      <c r="C2054" s="280">
        <v>45903</v>
      </c>
      <c r="D2054" s="279">
        <v>45905</v>
      </c>
      <c r="E2054" s="279">
        <v>45906</v>
      </c>
      <c r="F2054" s="132"/>
      <c r="G2054" s="132" t="s">
        <v>1108</v>
      </c>
      <c r="H2054" s="132" t="s">
        <v>373</v>
      </c>
      <c r="I2054" s="132" t="s">
        <v>1100</v>
      </c>
      <c r="J2054" s="132" t="s">
        <v>4623</v>
      </c>
      <c r="K2054" s="132" t="s">
        <v>4624</v>
      </c>
      <c r="L2054" s="132" t="s">
        <v>4625</v>
      </c>
      <c r="M2054" s="132" t="s">
        <v>5581</v>
      </c>
      <c r="N2054" s="132" t="s">
        <v>1112</v>
      </c>
      <c r="O2054" s="132" t="s">
        <v>5582</v>
      </c>
      <c r="P2054" s="132" t="s">
        <v>4923</v>
      </c>
      <c r="Q2054" s="132" t="s">
        <v>1108</v>
      </c>
    </row>
    <row r="2055" spans="1:17" x14ac:dyDescent="0.2">
      <c r="A2055" t="s">
        <v>81</v>
      </c>
      <c r="B2055" s="141">
        <f t="shared" si="33"/>
        <v>58.2</v>
      </c>
      <c r="C2055" s="280">
        <v>45903</v>
      </c>
      <c r="D2055" s="279">
        <v>45905</v>
      </c>
      <c r="E2055" s="279">
        <v>45906</v>
      </c>
      <c r="F2055" s="132"/>
      <c r="G2055" s="132" t="s">
        <v>1108</v>
      </c>
      <c r="H2055" s="132" t="s">
        <v>373</v>
      </c>
      <c r="I2055" s="132" t="s">
        <v>1100</v>
      </c>
      <c r="J2055" s="132" t="s">
        <v>4623</v>
      </c>
      <c r="K2055" s="132" t="s">
        <v>4624</v>
      </c>
      <c r="L2055" s="132" t="s">
        <v>4625</v>
      </c>
      <c r="M2055" s="132" t="s">
        <v>5583</v>
      </c>
      <c r="N2055" s="132" t="s">
        <v>1112</v>
      </c>
      <c r="O2055" s="132" t="s">
        <v>5584</v>
      </c>
      <c r="P2055" s="132" t="s">
        <v>4923</v>
      </c>
      <c r="Q2055" s="132" t="s">
        <v>1108</v>
      </c>
    </row>
    <row r="2056" spans="1:17" x14ac:dyDescent="0.2">
      <c r="A2056" t="s">
        <v>81</v>
      </c>
      <c r="B2056" s="141">
        <f t="shared" si="33"/>
        <v>58.56</v>
      </c>
      <c r="C2056" s="280">
        <v>45903</v>
      </c>
      <c r="D2056" s="279">
        <v>45904</v>
      </c>
      <c r="E2056" s="279">
        <v>45906</v>
      </c>
      <c r="F2056" s="132"/>
      <c r="G2056" s="132" t="s">
        <v>5585</v>
      </c>
      <c r="H2056" s="132" t="s">
        <v>373</v>
      </c>
      <c r="I2056" s="132" t="s">
        <v>1100</v>
      </c>
      <c r="J2056" s="132" t="s">
        <v>4623</v>
      </c>
      <c r="K2056" s="132" t="s">
        <v>4672</v>
      </c>
      <c r="L2056" s="132" t="s">
        <v>4673</v>
      </c>
      <c r="M2056" s="132" t="s">
        <v>5586</v>
      </c>
      <c r="N2056" s="132" t="s">
        <v>1105</v>
      </c>
      <c r="O2056" s="132" t="s">
        <v>5587</v>
      </c>
      <c r="P2056" s="132" t="s">
        <v>4923</v>
      </c>
      <c r="Q2056" s="132" t="s">
        <v>1108</v>
      </c>
    </row>
    <row r="2057" spans="1:17" x14ac:dyDescent="0.2">
      <c r="A2057" t="s">
        <v>293</v>
      </c>
      <c r="B2057" s="141">
        <f t="shared" si="33"/>
        <v>-55</v>
      </c>
      <c r="C2057" s="280">
        <v>45904</v>
      </c>
      <c r="D2057" s="279">
        <v>45908</v>
      </c>
      <c r="E2057" s="279">
        <v>45906</v>
      </c>
      <c r="F2057" s="132"/>
      <c r="G2057" s="132" t="s">
        <v>5509</v>
      </c>
      <c r="H2057" s="132" t="s">
        <v>5588</v>
      </c>
      <c r="I2057" s="132" t="s">
        <v>1100</v>
      </c>
      <c r="J2057" s="132" t="s">
        <v>5589</v>
      </c>
      <c r="K2057" s="132" t="s">
        <v>5590</v>
      </c>
      <c r="L2057" s="132" t="s">
        <v>5591</v>
      </c>
      <c r="M2057" s="132" t="s">
        <v>5592</v>
      </c>
      <c r="N2057" s="132" t="s">
        <v>1105</v>
      </c>
      <c r="O2057" s="132" t="s">
        <v>5593</v>
      </c>
      <c r="P2057" s="132" t="s">
        <v>4923</v>
      </c>
      <c r="Q2057" s="132" t="s">
        <v>1108</v>
      </c>
    </row>
    <row r="2058" spans="1:17" x14ac:dyDescent="0.2">
      <c r="A2058" t="s">
        <v>81</v>
      </c>
      <c r="B2058" s="141">
        <f t="shared" si="33"/>
        <v>58.56</v>
      </c>
      <c r="C2058" s="280">
        <v>45904</v>
      </c>
      <c r="D2058" s="279">
        <v>45905</v>
      </c>
      <c r="E2058" s="279">
        <v>45906</v>
      </c>
      <c r="F2058" s="132"/>
      <c r="G2058" s="132" t="s">
        <v>4796</v>
      </c>
      <c r="H2058" s="132" t="s">
        <v>373</v>
      </c>
      <c r="I2058" s="132" t="s">
        <v>1100</v>
      </c>
      <c r="J2058" s="132" t="s">
        <v>4623</v>
      </c>
      <c r="K2058" s="132" t="s">
        <v>4672</v>
      </c>
      <c r="L2058" s="132" t="s">
        <v>4673</v>
      </c>
      <c r="M2058" s="132" t="s">
        <v>5594</v>
      </c>
      <c r="N2058" s="132" t="s">
        <v>1105</v>
      </c>
      <c r="O2058" s="132" t="s">
        <v>5595</v>
      </c>
      <c r="P2058" s="132" t="s">
        <v>4923</v>
      </c>
      <c r="Q2058" s="132" t="s">
        <v>1108</v>
      </c>
    </row>
    <row r="2059" spans="1:17" x14ac:dyDescent="0.2">
      <c r="A2059" t="s">
        <v>81</v>
      </c>
      <c r="B2059" s="141">
        <f t="shared" si="33"/>
        <v>42.86</v>
      </c>
      <c r="C2059" s="280">
        <v>45904</v>
      </c>
      <c r="D2059" s="279">
        <v>45905</v>
      </c>
      <c r="E2059" s="279">
        <v>45906</v>
      </c>
      <c r="F2059" s="132"/>
      <c r="G2059" s="132" t="s">
        <v>5596</v>
      </c>
      <c r="H2059" s="132" t="s">
        <v>373</v>
      </c>
      <c r="I2059" s="132" t="s">
        <v>1100</v>
      </c>
      <c r="J2059" s="132" t="s">
        <v>4790</v>
      </c>
      <c r="K2059" s="132" t="s">
        <v>4791</v>
      </c>
      <c r="L2059" s="132" t="s">
        <v>4565</v>
      </c>
      <c r="M2059" s="132" t="s">
        <v>5597</v>
      </c>
      <c r="N2059" s="132" t="s">
        <v>1105</v>
      </c>
      <c r="O2059" s="132" t="s">
        <v>5598</v>
      </c>
      <c r="P2059" s="132" t="s">
        <v>4923</v>
      </c>
      <c r="Q2059" s="132" t="s">
        <v>1108</v>
      </c>
    </row>
    <row r="2060" spans="1:17" x14ac:dyDescent="0.2">
      <c r="A2060" t="s">
        <v>81</v>
      </c>
      <c r="B2060" s="141">
        <f t="shared" si="33"/>
        <v>58.56</v>
      </c>
      <c r="C2060" s="280">
        <v>45904</v>
      </c>
      <c r="D2060" s="279">
        <v>45905</v>
      </c>
      <c r="E2060" s="279">
        <v>45906</v>
      </c>
      <c r="F2060" s="132"/>
      <c r="G2060" s="132" t="s">
        <v>5599</v>
      </c>
      <c r="H2060" s="132" t="s">
        <v>373</v>
      </c>
      <c r="I2060" s="132" t="s">
        <v>1100</v>
      </c>
      <c r="J2060" s="132" t="s">
        <v>4623</v>
      </c>
      <c r="K2060" s="132" t="s">
        <v>4672</v>
      </c>
      <c r="L2060" s="132" t="s">
        <v>4673</v>
      </c>
      <c r="M2060" s="132" t="s">
        <v>5600</v>
      </c>
      <c r="N2060" s="132" t="s">
        <v>1105</v>
      </c>
      <c r="O2060" s="132" t="s">
        <v>5601</v>
      </c>
      <c r="P2060" s="132" t="s">
        <v>4923</v>
      </c>
      <c r="Q2060" s="132" t="s">
        <v>1108</v>
      </c>
    </row>
    <row r="2061" spans="1:17" x14ac:dyDescent="0.2">
      <c r="A2061" t="s">
        <v>293</v>
      </c>
      <c r="B2061" s="141">
        <f t="shared" si="33"/>
        <v>53.32</v>
      </c>
      <c r="C2061" s="280">
        <v>45904</v>
      </c>
      <c r="D2061" s="279">
        <v>45908</v>
      </c>
      <c r="E2061" s="279">
        <v>45908</v>
      </c>
      <c r="F2061" s="132"/>
      <c r="G2061" s="132" t="s">
        <v>1108</v>
      </c>
      <c r="H2061" s="132" t="s">
        <v>373</v>
      </c>
      <c r="I2061" s="132" t="s">
        <v>1100</v>
      </c>
      <c r="J2061" s="132" t="s">
        <v>5602</v>
      </c>
      <c r="K2061" s="132" t="s">
        <v>5603</v>
      </c>
      <c r="L2061" s="132" t="s">
        <v>5604</v>
      </c>
      <c r="M2061" s="132" t="s">
        <v>5605</v>
      </c>
      <c r="N2061" s="132" t="s">
        <v>1112</v>
      </c>
      <c r="O2061" s="132" t="s">
        <v>5606</v>
      </c>
      <c r="P2061" s="132" t="s">
        <v>5607</v>
      </c>
      <c r="Q2061" s="132" t="s">
        <v>1108</v>
      </c>
    </row>
    <row r="2062" spans="1:17" x14ac:dyDescent="0.2">
      <c r="A2062" t="s">
        <v>293</v>
      </c>
      <c r="B2062" s="141">
        <f t="shared" si="33"/>
        <v>53.65</v>
      </c>
      <c r="C2062" s="280">
        <v>45904</v>
      </c>
      <c r="D2062" s="279">
        <v>45908</v>
      </c>
      <c r="E2062" s="279">
        <v>45908</v>
      </c>
      <c r="F2062" s="132"/>
      <c r="G2062" s="132" t="s">
        <v>1108</v>
      </c>
      <c r="H2062" s="132" t="s">
        <v>373</v>
      </c>
      <c r="I2062" s="132" t="s">
        <v>1100</v>
      </c>
      <c r="J2062" s="132" t="s">
        <v>5602</v>
      </c>
      <c r="K2062" s="132" t="s">
        <v>5608</v>
      </c>
      <c r="L2062" s="132" t="s">
        <v>5609</v>
      </c>
      <c r="M2062" s="132" t="s">
        <v>5610</v>
      </c>
      <c r="N2062" s="132" t="s">
        <v>1117</v>
      </c>
      <c r="O2062" s="132" t="s">
        <v>5611</v>
      </c>
      <c r="P2062" s="132" t="s">
        <v>5607</v>
      </c>
      <c r="Q2062" s="132" t="s">
        <v>1108</v>
      </c>
    </row>
    <row r="2063" spans="1:17" x14ac:dyDescent="0.2">
      <c r="A2063" t="s">
        <v>293</v>
      </c>
      <c r="B2063" s="141">
        <f t="shared" si="33"/>
        <v>53.65</v>
      </c>
      <c r="C2063" s="280">
        <v>45904</v>
      </c>
      <c r="D2063" s="279">
        <v>45908</v>
      </c>
      <c r="E2063" s="279">
        <v>45908</v>
      </c>
      <c r="F2063" s="132"/>
      <c r="G2063" s="132" t="s">
        <v>5612</v>
      </c>
      <c r="H2063" s="132" t="s">
        <v>373</v>
      </c>
      <c r="I2063" s="132" t="s">
        <v>1100</v>
      </c>
      <c r="J2063" s="132" t="s">
        <v>5602</v>
      </c>
      <c r="K2063" s="132" t="s">
        <v>5608</v>
      </c>
      <c r="L2063" s="132" t="s">
        <v>5609</v>
      </c>
      <c r="M2063" s="132" t="s">
        <v>5613</v>
      </c>
      <c r="N2063" s="132" t="s">
        <v>1105</v>
      </c>
      <c r="O2063" s="132" t="s">
        <v>5614</v>
      </c>
      <c r="P2063" s="132" t="s">
        <v>5607</v>
      </c>
      <c r="Q2063" s="132" t="s">
        <v>1108</v>
      </c>
    </row>
    <row r="2064" spans="1:17" x14ac:dyDescent="0.2">
      <c r="A2064" t="s">
        <v>81</v>
      </c>
      <c r="B2064" s="141">
        <f t="shared" si="33"/>
        <v>58.56</v>
      </c>
      <c r="C2064" s="280">
        <v>45904</v>
      </c>
      <c r="D2064" s="279">
        <v>45908</v>
      </c>
      <c r="E2064" s="279">
        <v>45908</v>
      </c>
      <c r="F2064" s="132"/>
      <c r="G2064" s="132" t="s">
        <v>5615</v>
      </c>
      <c r="H2064" s="132" t="s">
        <v>373</v>
      </c>
      <c r="I2064" s="132" t="s">
        <v>1100</v>
      </c>
      <c r="J2064" s="132" t="s">
        <v>4623</v>
      </c>
      <c r="K2064" s="132" t="s">
        <v>4672</v>
      </c>
      <c r="L2064" s="132" t="s">
        <v>4673</v>
      </c>
      <c r="M2064" s="132" t="s">
        <v>5616</v>
      </c>
      <c r="N2064" s="132" t="s">
        <v>1105</v>
      </c>
      <c r="O2064" s="132" t="s">
        <v>5617</v>
      </c>
      <c r="P2064" s="132" t="s">
        <v>5607</v>
      </c>
      <c r="Q2064" s="132" t="s">
        <v>1108</v>
      </c>
    </row>
    <row r="2065" spans="1:17" x14ac:dyDescent="0.2">
      <c r="A2065" t="s">
        <v>81</v>
      </c>
      <c r="B2065" s="141">
        <f t="shared" si="33"/>
        <v>22.12</v>
      </c>
      <c r="C2065" s="280">
        <v>45904</v>
      </c>
      <c r="D2065" s="279">
        <v>45908</v>
      </c>
      <c r="E2065" s="279">
        <v>45908</v>
      </c>
      <c r="F2065" s="132"/>
      <c r="G2065" s="132" t="s">
        <v>1108</v>
      </c>
      <c r="H2065" s="132" t="s">
        <v>373</v>
      </c>
      <c r="I2065" s="132" t="s">
        <v>1100</v>
      </c>
      <c r="J2065" s="132" t="s">
        <v>2909</v>
      </c>
      <c r="K2065" s="132" t="s">
        <v>5618</v>
      </c>
      <c r="L2065" s="132" t="s">
        <v>4503</v>
      </c>
      <c r="M2065" s="132" t="s">
        <v>5619</v>
      </c>
      <c r="N2065" s="132" t="s">
        <v>1112</v>
      </c>
      <c r="O2065" s="132" t="s">
        <v>5620</v>
      </c>
      <c r="P2065" s="132" t="s">
        <v>5607</v>
      </c>
      <c r="Q2065" s="132" t="s">
        <v>1108</v>
      </c>
    </row>
    <row r="2066" spans="1:17" x14ac:dyDescent="0.2">
      <c r="A2066" t="s">
        <v>293</v>
      </c>
      <c r="B2066" s="141">
        <f t="shared" si="33"/>
        <v>53.65</v>
      </c>
      <c r="C2066" s="280">
        <v>45904</v>
      </c>
      <c r="D2066" s="279">
        <v>45908</v>
      </c>
      <c r="E2066" s="279">
        <v>45908</v>
      </c>
      <c r="F2066" s="132"/>
      <c r="G2066" s="132" t="s">
        <v>4811</v>
      </c>
      <c r="H2066" s="132" t="s">
        <v>373</v>
      </c>
      <c r="I2066" s="132" t="s">
        <v>1100</v>
      </c>
      <c r="J2066" s="132" t="s">
        <v>5602</v>
      </c>
      <c r="K2066" s="132" t="s">
        <v>5608</v>
      </c>
      <c r="L2066" s="132" t="s">
        <v>5609</v>
      </c>
      <c r="M2066" s="132" t="s">
        <v>5621</v>
      </c>
      <c r="N2066" s="132" t="s">
        <v>1105</v>
      </c>
      <c r="O2066" s="132" t="s">
        <v>5622</v>
      </c>
      <c r="P2066" s="132" t="s">
        <v>5607</v>
      </c>
      <c r="Q2066" s="132" t="s">
        <v>1108</v>
      </c>
    </row>
    <row r="2067" spans="1:17" x14ac:dyDescent="0.2">
      <c r="A2067" t="s">
        <v>81</v>
      </c>
      <c r="B2067" s="141">
        <f t="shared" si="33"/>
        <v>58.56</v>
      </c>
      <c r="C2067" s="280">
        <v>45904</v>
      </c>
      <c r="D2067" s="279">
        <v>45908</v>
      </c>
      <c r="E2067" s="279">
        <v>45908</v>
      </c>
      <c r="F2067" s="132"/>
      <c r="G2067" s="132" t="s">
        <v>4811</v>
      </c>
      <c r="H2067" s="132" t="s">
        <v>373</v>
      </c>
      <c r="I2067" s="132" t="s">
        <v>1100</v>
      </c>
      <c r="J2067" s="132" t="s">
        <v>4623</v>
      </c>
      <c r="K2067" s="132" t="s">
        <v>4672</v>
      </c>
      <c r="L2067" s="132" t="s">
        <v>4673</v>
      </c>
      <c r="M2067" s="132" t="s">
        <v>5623</v>
      </c>
      <c r="N2067" s="132" t="s">
        <v>1105</v>
      </c>
      <c r="O2067" s="132" t="s">
        <v>5624</v>
      </c>
      <c r="P2067" s="132" t="s">
        <v>5607</v>
      </c>
      <c r="Q2067" s="132" t="s">
        <v>1108</v>
      </c>
    </row>
    <row r="2068" spans="1:17" x14ac:dyDescent="0.2">
      <c r="A2068" t="s">
        <v>293</v>
      </c>
      <c r="B2068" s="141">
        <f t="shared" si="33"/>
        <v>53.65</v>
      </c>
      <c r="C2068" s="280">
        <v>45904</v>
      </c>
      <c r="D2068" s="279">
        <v>45908</v>
      </c>
      <c r="E2068" s="279">
        <v>45908</v>
      </c>
      <c r="F2068" s="132"/>
      <c r="G2068" s="132" t="s">
        <v>5625</v>
      </c>
      <c r="H2068" s="132" t="s">
        <v>373</v>
      </c>
      <c r="I2068" s="132" t="s">
        <v>1100</v>
      </c>
      <c r="J2068" s="132" t="s">
        <v>5602</v>
      </c>
      <c r="K2068" s="132" t="s">
        <v>5608</v>
      </c>
      <c r="L2068" s="132" t="s">
        <v>5609</v>
      </c>
      <c r="M2068" s="132" t="s">
        <v>5626</v>
      </c>
      <c r="N2068" s="132" t="s">
        <v>1105</v>
      </c>
      <c r="O2068" s="132" t="s">
        <v>5627</v>
      </c>
      <c r="P2068" s="132" t="s">
        <v>5607</v>
      </c>
      <c r="Q2068" s="132" t="s">
        <v>1108</v>
      </c>
    </row>
    <row r="2069" spans="1:17" x14ac:dyDescent="0.2">
      <c r="A2069" t="s">
        <v>81</v>
      </c>
      <c r="B2069" s="141">
        <f t="shared" si="33"/>
        <v>58.56</v>
      </c>
      <c r="C2069" s="280">
        <v>45904</v>
      </c>
      <c r="D2069" s="279">
        <v>45908</v>
      </c>
      <c r="E2069" s="279">
        <v>45908</v>
      </c>
      <c r="F2069" s="132"/>
      <c r="G2069" s="132" t="s">
        <v>5625</v>
      </c>
      <c r="H2069" s="132" t="s">
        <v>373</v>
      </c>
      <c r="I2069" s="132" t="s">
        <v>1100</v>
      </c>
      <c r="J2069" s="132" t="s">
        <v>4623</v>
      </c>
      <c r="K2069" s="132" t="s">
        <v>4672</v>
      </c>
      <c r="L2069" s="132" t="s">
        <v>4673</v>
      </c>
      <c r="M2069" s="132" t="s">
        <v>5628</v>
      </c>
      <c r="N2069" s="132" t="s">
        <v>1105</v>
      </c>
      <c r="O2069" s="132" t="s">
        <v>5629</v>
      </c>
      <c r="P2069" s="132" t="s">
        <v>5607</v>
      </c>
      <c r="Q2069" s="132" t="s">
        <v>1108</v>
      </c>
    </row>
    <row r="2070" spans="1:17" x14ac:dyDescent="0.2">
      <c r="A2070" t="s">
        <v>293</v>
      </c>
      <c r="B2070" s="141">
        <f t="shared" si="33"/>
        <v>53.65</v>
      </c>
      <c r="C2070" s="280">
        <v>45904</v>
      </c>
      <c r="D2070" s="279">
        <v>45908</v>
      </c>
      <c r="E2070" s="279">
        <v>45908</v>
      </c>
      <c r="F2070" s="132"/>
      <c r="G2070" s="132" t="s">
        <v>1108</v>
      </c>
      <c r="H2070" s="132" t="s">
        <v>373</v>
      </c>
      <c r="I2070" s="132" t="s">
        <v>1100</v>
      </c>
      <c r="J2070" s="132" t="s">
        <v>5602</v>
      </c>
      <c r="K2070" s="132" t="s">
        <v>5608</v>
      </c>
      <c r="L2070" s="132" t="s">
        <v>5609</v>
      </c>
      <c r="M2070" s="132" t="s">
        <v>5630</v>
      </c>
      <c r="N2070" s="132" t="s">
        <v>1117</v>
      </c>
      <c r="O2070" s="132" t="s">
        <v>5631</v>
      </c>
      <c r="P2070" s="132" t="s">
        <v>5607</v>
      </c>
      <c r="Q2070" s="132" t="s">
        <v>1108</v>
      </c>
    </row>
    <row r="2071" spans="1:17" x14ac:dyDescent="0.2">
      <c r="A2071" t="s">
        <v>293</v>
      </c>
      <c r="B2071" s="141">
        <f t="shared" si="33"/>
        <v>53.65</v>
      </c>
      <c r="C2071" s="280">
        <v>45904</v>
      </c>
      <c r="D2071" s="279">
        <v>45908</v>
      </c>
      <c r="E2071" s="279">
        <v>45908</v>
      </c>
      <c r="F2071" s="132"/>
      <c r="G2071" s="132" t="s">
        <v>5632</v>
      </c>
      <c r="H2071" s="132" t="s">
        <v>373</v>
      </c>
      <c r="I2071" s="132" t="s">
        <v>1100</v>
      </c>
      <c r="J2071" s="132" t="s">
        <v>5602</v>
      </c>
      <c r="K2071" s="132" t="s">
        <v>5608</v>
      </c>
      <c r="L2071" s="132" t="s">
        <v>5609</v>
      </c>
      <c r="M2071" s="132" t="s">
        <v>5633</v>
      </c>
      <c r="N2071" s="132" t="s">
        <v>1105</v>
      </c>
      <c r="O2071" s="132" t="s">
        <v>5634</v>
      </c>
      <c r="P2071" s="132" t="s">
        <v>5607</v>
      </c>
      <c r="Q2071" s="132" t="s">
        <v>1108</v>
      </c>
    </row>
    <row r="2072" spans="1:17" x14ac:dyDescent="0.2">
      <c r="A2072" t="s">
        <v>81</v>
      </c>
      <c r="B2072" s="141">
        <f t="shared" si="33"/>
        <v>58.56</v>
      </c>
      <c r="C2072" s="280">
        <v>45904</v>
      </c>
      <c r="D2072" s="279">
        <v>45908</v>
      </c>
      <c r="E2072" s="279">
        <v>45908</v>
      </c>
      <c r="F2072" s="132"/>
      <c r="G2072" s="132" t="s">
        <v>5632</v>
      </c>
      <c r="H2072" s="132" t="s">
        <v>373</v>
      </c>
      <c r="I2072" s="132" t="s">
        <v>1100</v>
      </c>
      <c r="J2072" s="132" t="s">
        <v>4623</v>
      </c>
      <c r="K2072" s="132" t="s">
        <v>4672</v>
      </c>
      <c r="L2072" s="132" t="s">
        <v>4673</v>
      </c>
      <c r="M2072" s="132" t="s">
        <v>5635</v>
      </c>
      <c r="N2072" s="132" t="s">
        <v>1105</v>
      </c>
      <c r="O2072" s="132" t="s">
        <v>5636</v>
      </c>
      <c r="P2072" s="132" t="s">
        <v>5607</v>
      </c>
      <c r="Q2072" s="132" t="s">
        <v>1108</v>
      </c>
    </row>
    <row r="2073" spans="1:17" x14ac:dyDescent="0.2">
      <c r="A2073" t="s">
        <v>293</v>
      </c>
      <c r="B2073" s="141">
        <f t="shared" si="33"/>
        <v>53.65</v>
      </c>
      <c r="C2073" s="280">
        <v>45904</v>
      </c>
      <c r="D2073" s="279">
        <v>45908</v>
      </c>
      <c r="E2073" s="279">
        <v>45908</v>
      </c>
      <c r="F2073" s="132"/>
      <c r="G2073" s="132" t="s">
        <v>5637</v>
      </c>
      <c r="H2073" s="132" t="s">
        <v>373</v>
      </c>
      <c r="I2073" s="132" t="s">
        <v>1100</v>
      </c>
      <c r="J2073" s="132" t="s">
        <v>5602</v>
      </c>
      <c r="K2073" s="132" t="s">
        <v>5608</v>
      </c>
      <c r="L2073" s="132" t="s">
        <v>5609</v>
      </c>
      <c r="M2073" s="132" t="s">
        <v>5638</v>
      </c>
      <c r="N2073" s="132" t="s">
        <v>1105</v>
      </c>
      <c r="O2073" s="132" t="s">
        <v>5639</v>
      </c>
      <c r="P2073" s="132" t="s">
        <v>5607</v>
      </c>
      <c r="Q2073" s="132" t="s">
        <v>1108</v>
      </c>
    </row>
    <row r="2074" spans="1:17" x14ac:dyDescent="0.2">
      <c r="A2074" t="s">
        <v>293</v>
      </c>
      <c r="B2074" s="141">
        <f t="shared" si="33"/>
        <v>53.32</v>
      </c>
      <c r="C2074" s="280">
        <v>45904</v>
      </c>
      <c r="D2074" s="279">
        <v>45908</v>
      </c>
      <c r="E2074" s="279">
        <v>45908</v>
      </c>
      <c r="F2074" s="132"/>
      <c r="G2074" s="132" t="s">
        <v>1108</v>
      </c>
      <c r="H2074" s="132" t="s">
        <v>373</v>
      </c>
      <c r="I2074" s="132" t="s">
        <v>1100</v>
      </c>
      <c r="J2074" s="132" t="s">
        <v>5602</v>
      </c>
      <c r="K2074" s="132" t="s">
        <v>5603</v>
      </c>
      <c r="L2074" s="132" t="s">
        <v>5604</v>
      </c>
      <c r="M2074" s="132" t="s">
        <v>5640</v>
      </c>
      <c r="N2074" s="132" t="s">
        <v>1112</v>
      </c>
      <c r="O2074" s="132" t="s">
        <v>5641</v>
      </c>
      <c r="P2074" s="132" t="s">
        <v>5607</v>
      </c>
      <c r="Q2074" s="132" t="s">
        <v>1108</v>
      </c>
    </row>
    <row r="2075" spans="1:17" x14ac:dyDescent="0.2">
      <c r="A2075" t="s">
        <v>81</v>
      </c>
      <c r="B2075" s="141">
        <f t="shared" si="33"/>
        <v>58.2</v>
      </c>
      <c r="C2075" s="280">
        <v>45904</v>
      </c>
      <c r="D2075" s="279">
        <v>45908</v>
      </c>
      <c r="E2075" s="279">
        <v>45908</v>
      </c>
      <c r="F2075" s="132"/>
      <c r="G2075" s="132" t="s">
        <v>1108</v>
      </c>
      <c r="H2075" s="132" t="s">
        <v>373</v>
      </c>
      <c r="I2075" s="132" t="s">
        <v>1100</v>
      </c>
      <c r="J2075" s="132" t="s">
        <v>4623</v>
      </c>
      <c r="K2075" s="132" t="s">
        <v>4624</v>
      </c>
      <c r="L2075" s="132" t="s">
        <v>4625</v>
      </c>
      <c r="M2075" s="132" t="s">
        <v>5642</v>
      </c>
      <c r="N2075" s="132" t="s">
        <v>1112</v>
      </c>
      <c r="O2075" s="132" t="s">
        <v>5643</v>
      </c>
      <c r="P2075" s="132" t="s">
        <v>5607</v>
      </c>
      <c r="Q2075" s="132" t="s">
        <v>1108</v>
      </c>
    </row>
    <row r="2076" spans="1:17" x14ac:dyDescent="0.2">
      <c r="A2076" t="s">
        <v>293</v>
      </c>
      <c r="B2076" s="141">
        <f t="shared" si="33"/>
        <v>53.32</v>
      </c>
      <c r="C2076" s="280">
        <v>45904</v>
      </c>
      <c r="D2076" s="279">
        <v>45908</v>
      </c>
      <c r="E2076" s="279">
        <v>45908</v>
      </c>
      <c r="F2076" s="132"/>
      <c r="G2076" s="132" t="s">
        <v>1108</v>
      </c>
      <c r="H2076" s="132" t="s">
        <v>373</v>
      </c>
      <c r="I2076" s="132" t="s">
        <v>1100</v>
      </c>
      <c r="J2076" s="132" t="s">
        <v>5602</v>
      </c>
      <c r="K2076" s="132" t="s">
        <v>5603</v>
      </c>
      <c r="L2076" s="132" t="s">
        <v>5604</v>
      </c>
      <c r="M2076" s="132" t="s">
        <v>5644</v>
      </c>
      <c r="N2076" s="132" t="s">
        <v>1112</v>
      </c>
      <c r="O2076" s="132" t="s">
        <v>5645</v>
      </c>
      <c r="P2076" s="132" t="s">
        <v>5607</v>
      </c>
      <c r="Q2076" s="132" t="s">
        <v>1108</v>
      </c>
    </row>
    <row r="2077" spans="1:17" x14ac:dyDescent="0.2">
      <c r="A2077" t="s">
        <v>81</v>
      </c>
      <c r="B2077" s="141">
        <f t="shared" si="33"/>
        <v>58.2</v>
      </c>
      <c r="C2077" s="280">
        <v>45904</v>
      </c>
      <c r="D2077" s="279">
        <v>45908</v>
      </c>
      <c r="E2077" s="279">
        <v>45908</v>
      </c>
      <c r="F2077" s="132"/>
      <c r="G2077" s="132" t="s">
        <v>1108</v>
      </c>
      <c r="H2077" s="132" t="s">
        <v>373</v>
      </c>
      <c r="I2077" s="132" t="s">
        <v>1100</v>
      </c>
      <c r="J2077" s="132" t="s">
        <v>4623</v>
      </c>
      <c r="K2077" s="132" t="s">
        <v>4624</v>
      </c>
      <c r="L2077" s="132" t="s">
        <v>4625</v>
      </c>
      <c r="M2077" s="132" t="s">
        <v>5646</v>
      </c>
      <c r="N2077" s="132" t="s">
        <v>1112</v>
      </c>
      <c r="O2077" s="132" t="s">
        <v>5647</v>
      </c>
      <c r="P2077" s="132" t="s">
        <v>5607</v>
      </c>
      <c r="Q2077" s="132" t="s">
        <v>1108</v>
      </c>
    </row>
    <row r="2078" spans="1:17" x14ac:dyDescent="0.2">
      <c r="A2078" t="s">
        <v>293</v>
      </c>
      <c r="B2078" s="141">
        <f t="shared" si="33"/>
        <v>53.32</v>
      </c>
      <c r="C2078" s="280">
        <v>45904</v>
      </c>
      <c r="D2078" s="279">
        <v>45908</v>
      </c>
      <c r="E2078" s="279">
        <v>45908</v>
      </c>
      <c r="F2078" s="132"/>
      <c r="G2078" s="132" t="s">
        <v>1108</v>
      </c>
      <c r="H2078" s="132" t="s">
        <v>373</v>
      </c>
      <c r="I2078" s="132" t="s">
        <v>1100</v>
      </c>
      <c r="J2078" s="132" t="s">
        <v>5602</v>
      </c>
      <c r="K2078" s="132" t="s">
        <v>5603</v>
      </c>
      <c r="L2078" s="132" t="s">
        <v>5604</v>
      </c>
      <c r="M2078" s="132" t="s">
        <v>5648</v>
      </c>
      <c r="N2078" s="132" t="s">
        <v>1112</v>
      </c>
      <c r="O2078" s="132" t="s">
        <v>5649</v>
      </c>
      <c r="P2078" s="132" t="s">
        <v>5607</v>
      </c>
      <c r="Q2078" s="132" t="s">
        <v>1108</v>
      </c>
    </row>
    <row r="2079" spans="1:17" x14ac:dyDescent="0.2">
      <c r="A2079" t="s">
        <v>293</v>
      </c>
      <c r="B2079" s="141">
        <f t="shared" si="33"/>
        <v>53.65</v>
      </c>
      <c r="C2079" s="280">
        <v>45904</v>
      </c>
      <c r="D2079" s="279">
        <v>45908</v>
      </c>
      <c r="E2079" s="279">
        <v>45908</v>
      </c>
      <c r="F2079" s="132"/>
      <c r="G2079" s="132" t="s">
        <v>1108</v>
      </c>
      <c r="H2079" s="132" t="s">
        <v>373</v>
      </c>
      <c r="I2079" s="132" t="s">
        <v>1100</v>
      </c>
      <c r="J2079" s="132" t="s">
        <v>5602</v>
      </c>
      <c r="K2079" s="132" t="s">
        <v>5608</v>
      </c>
      <c r="L2079" s="132" t="s">
        <v>5609</v>
      </c>
      <c r="M2079" s="132" t="s">
        <v>5650</v>
      </c>
      <c r="N2079" s="132" t="s">
        <v>1117</v>
      </c>
      <c r="O2079" s="132" t="s">
        <v>5651</v>
      </c>
      <c r="P2079" s="132" t="s">
        <v>5607</v>
      </c>
      <c r="Q2079" s="132" t="s">
        <v>1108</v>
      </c>
    </row>
    <row r="2080" spans="1:17" x14ac:dyDescent="0.2">
      <c r="A2080" t="s">
        <v>81</v>
      </c>
      <c r="B2080" s="141">
        <f t="shared" si="33"/>
        <v>58.2</v>
      </c>
      <c r="C2080" s="280">
        <v>45904</v>
      </c>
      <c r="D2080" s="279">
        <v>45908</v>
      </c>
      <c r="E2080" s="279">
        <v>45908</v>
      </c>
      <c r="F2080" s="132"/>
      <c r="G2080" s="132" t="s">
        <v>1108</v>
      </c>
      <c r="H2080" s="132" t="s">
        <v>373</v>
      </c>
      <c r="I2080" s="132" t="s">
        <v>1100</v>
      </c>
      <c r="J2080" s="132" t="s">
        <v>4623</v>
      </c>
      <c r="K2080" s="132" t="s">
        <v>4624</v>
      </c>
      <c r="L2080" s="132" t="s">
        <v>4625</v>
      </c>
      <c r="M2080" s="132" t="s">
        <v>5652</v>
      </c>
      <c r="N2080" s="132" t="s">
        <v>1112</v>
      </c>
      <c r="O2080" s="132" t="s">
        <v>5653</v>
      </c>
      <c r="P2080" s="132" t="s">
        <v>5607</v>
      </c>
      <c r="Q2080" s="132" t="s">
        <v>1108</v>
      </c>
    </row>
    <row r="2081" spans="1:17" x14ac:dyDescent="0.2">
      <c r="A2081" t="s">
        <v>81</v>
      </c>
      <c r="B2081" s="141">
        <f t="shared" si="33"/>
        <v>58.56</v>
      </c>
      <c r="C2081" s="280">
        <v>45904</v>
      </c>
      <c r="D2081" s="279">
        <v>45908</v>
      </c>
      <c r="E2081" s="279">
        <v>45908</v>
      </c>
      <c r="F2081" s="132"/>
      <c r="G2081" s="132" t="s">
        <v>5654</v>
      </c>
      <c r="H2081" s="132" t="s">
        <v>373</v>
      </c>
      <c r="I2081" s="132" t="s">
        <v>1100</v>
      </c>
      <c r="J2081" s="132" t="s">
        <v>4623</v>
      </c>
      <c r="K2081" s="132" t="s">
        <v>4672</v>
      </c>
      <c r="L2081" s="132" t="s">
        <v>4673</v>
      </c>
      <c r="M2081" s="132" t="s">
        <v>5655</v>
      </c>
      <c r="N2081" s="132" t="s">
        <v>1105</v>
      </c>
      <c r="O2081" s="132" t="s">
        <v>5656</v>
      </c>
      <c r="P2081" s="132" t="s">
        <v>5607</v>
      </c>
      <c r="Q2081" s="132" t="s">
        <v>1108</v>
      </c>
    </row>
    <row r="2082" spans="1:17" x14ac:dyDescent="0.2">
      <c r="A2082" t="s">
        <v>293</v>
      </c>
      <c r="B2082" s="141">
        <f t="shared" si="33"/>
        <v>53.32</v>
      </c>
      <c r="C2082" s="280">
        <v>45904</v>
      </c>
      <c r="D2082" s="279">
        <v>45908</v>
      </c>
      <c r="E2082" s="279">
        <v>45908</v>
      </c>
      <c r="F2082" s="132"/>
      <c r="G2082" s="132" t="s">
        <v>1108</v>
      </c>
      <c r="H2082" s="132" t="s">
        <v>373</v>
      </c>
      <c r="I2082" s="132" t="s">
        <v>1100</v>
      </c>
      <c r="J2082" s="132" t="s">
        <v>5602</v>
      </c>
      <c r="K2082" s="132" t="s">
        <v>5603</v>
      </c>
      <c r="L2082" s="132" t="s">
        <v>5604</v>
      </c>
      <c r="M2082" s="132" t="s">
        <v>5657</v>
      </c>
      <c r="N2082" s="132" t="s">
        <v>1112</v>
      </c>
      <c r="O2082" s="132" t="s">
        <v>5658</v>
      </c>
      <c r="P2082" s="132" t="s">
        <v>5607</v>
      </c>
      <c r="Q2082" s="132" t="s">
        <v>1108</v>
      </c>
    </row>
    <row r="2083" spans="1:17" x14ac:dyDescent="0.2">
      <c r="A2083" t="s">
        <v>293</v>
      </c>
      <c r="B2083" s="141">
        <f t="shared" si="33"/>
        <v>53.65</v>
      </c>
      <c r="C2083" s="280">
        <v>45904</v>
      </c>
      <c r="D2083" s="279">
        <v>45908</v>
      </c>
      <c r="E2083" s="279">
        <v>45908</v>
      </c>
      <c r="F2083" s="132"/>
      <c r="G2083" s="132" t="s">
        <v>1108</v>
      </c>
      <c r="H2083" s="132" t="s">
        <v>373</v>
      </c>
      <c r="I2083" s="132" t="s">
        <v>1100</v>
      </c>
      <c r="J2083" s="132" t="s">
        <v>5602</v>
      </c>
      <c r="K2083" s="132" t="s">
        <v>5608</v>
      </c>
      <c r="L2083" s="132" t="s">
        <v>5609</v>
      </c>
      <c r="M2083" s="132" t="s">
        <v>5659</v>
      </c>
      <c r="N2083" s="132" t="s">
        <v>1117</v>
      </c>
      <c r="O2083" s="132" t="s">
        <v>5660</v>
      </c>
      <c r="P2083" s="132" t="s">
        <v>5607</v>
      </c>
      <c r="Q2083" s="132" t="s">
        <v>1108</v>
      </c>
    </row>
    <row r="2084" spans="1:17" x14ac:dyDescent="0.2">
      <c r="A2084" t="s">
        <v>293</v>
      </c>
      <c r="B2084" s="141">
        <f t="shared" si="33"/>
        <v>53.65</v>
      </c>
      <c r="C2084" s="280">
        <v>45904</v>
      </c>
      <c r="D2084" s="279">
        <v>45908</v>
      </c>
      <c r="E2084" s="279">
        <v>45908</v>
      </c>
      <c r="F2084" s="132"/>
      <c r="G2084" s="132" t="s">
        <v>5661</v>
      </c>
      <c r="H2084" s="132" t="s">
        <v>373</v>
      </c>
      <c r="I2084" s="132" t="s">
        <v>1100</v>
      </c>
      <c r="J2084" s="132" t="s">
        <v>5602</v>
      </c>
      <c r="K2084" s="132" t="s">
        <v>5608</v>
      </c>
      <c r="L2084" s="132" t="s">
        <v>5609</v>
      </c>
      <c r="M2084" s="132" t="s">
        <v>5662</v>
      </c>
      <c r="N2084" s="132" t="s">
        <v>1105</v>
      </c>
      <c r="O2084" s="132" t="s">
        <v>5663</v>
      </c>
      <c r="P2084" s="132" t="s">
        <v>5607</v>
      </c>
      <c r="Q2084" s="132" t="s">
        <v>1108</v>
      </c>
    </row>
    <row r="2085" spans="1:17" x14ac:dyDescent="0.2">
      <c r="A2085" t="s">
        <v>81</v>
      </c>
      <c r="B2085" s="141">
        <f t="shared" si="33"/>
        <v>58.56</v>
      </c>
      <c r="C2085" s="280">
        <v>45904</v>
      </c>
      <c r="D2085" s="279">
        <v>45908</v>
      </c>
      <c r="E2085" s="279">
        <v>45908</v>
      </c>
      <c r="F2085" s="132"/>
      <c r="G2085" s="132" t="s">
        <v>5664</v>
      </c>
      <c r="H2085" s="132" t="s">
        <v>373</v>
      </c>
      <c r="I2085" s="132" t="s">
        <v>1100</v>
      </c>
      <c r="J2085" s="132" t="s">
        <v>4623</v>
      </c>
      <c r="K2085" s="132" t="s">
        <v>4672</v>
      </c>
      <c r="L2085" s="132" t="s">
        <v>4673</v>
      </c>
      <c r="M2085" s="132" t="s">
        <v>5665</v>
      </c>
      <c r="N2085" s="132" t="s">
        <v>1105</v>
      </c>
      <c r="O2085" s="132" t="s">
        <v>5666</v>
      </c>
      <c r="P2085" s="132" t="s">
        <v>5607</v>
      </c>
      <c r="Q2085" s="132" t="s">
        <v>1108</v>
      </c>
    </row>
    <row r="2086" spans="1:17" x14ac:dyDescent="0.2">
      <c r="A2086" t="s">
        <v>293</v>
      </c>
      <c r="B2086" s="141">
        <f t="shared" si="33"/>
        <v>53.32</v>
      </c>
      <c r="C2086" s="280">
        <v>45904</v>
      </c>
      <c r="D2086" s="279">
        <v>45908</v>
      </c>
      <c r="E2086" s="279">
        <v>45908</v>
      </c>
      <c r="F2086" s="132"/>
      <c r="G2086" s="132" t="s">
        <v>1108</v>
      </c>
      <c r="H2086" s="132" t="s">
        <v>373</v>
      </c>
      <c r="I2086" s="132" t="s">
        <v>1100</v>
      </c>
      <c r="J2086" s="132" t="s">
        <v>5602</v>
      </c>
      <c r="K2086" s="132" t="s">
        <v>5603</v>
      </c>
      <c r="L2086" s="132" t="s">
        <v>5604</v>
      </c>
      <c r="M2086" s="132" t="s">
        <v>5667</v>
      </c>
      <c r="N2086" s="132" t="s">
        <v>1112</v>
      </c>
      <c r="O2086" s="132" t="s">
        <v>5668</v>
      </c>
      <c r="P2086" s="132" t="s">
        <v>5607</v>
      </c>
      <c r="Q2086" s="132" t="s">
        <v>1108</v>
      </c>
    </row>
    <row r="2087" spans="1:17" x14ac:dyDescent="0.2">
      <c r="A2087" t="s">
        <v>293</v>
      </c>
      <c r="B2087" s="141">
        <f t="shared" si="33"/>
        <v>53.65</v>
      </c>
      <c r="C2087" s="280">
        <v>45904</v>
      </c>
      <c r="D2087" s="279">
        <v>45908</v>
      </c>
      <c r="E2087" s="279">
        <v>45908</v>
      </c>
      <c r="F2087" s="132"/>
      <c r="G2087" s="132" t="s">
        <v>5596</v>
      </c>
      <c r="H2087" s="132" t="s">
        <v>373</v>
      </c>
      <c r="I2087" s="132" t="s">
        <v>1100</v>
      </c>
      <c r="J2087" s="132" t="s">
        <v>5602</v>
      </c>
      <c r="K2087" s="132" t="s">
        <v>5608</v>
      </c>
      <c r="L2087" s="132" t="s">
        <v>5609</v>
      </c>
      <c r="M2087" s="132" t="s">
        <v>5669</v>
      </c>
      <c r="N2087" s="132" t="s">
        <v>1105</v>
      </c>
      <c r="O2087" s="132" t="s">
        <v>5670</v>
      </c>
      <c r="P2087" s="132" t="s">
        <v>5607</v>
      </c>
      <c r="Q2087" s="132" t="s">
        <v>1108</v>
      </c>
    </row>
    <row r="2088" spans="1:17" x14ac:dyDescent="0.2">
      <c r="A2088" t="s">
        <v>293</v>
      </c>
      <c r="B2088" s="141">
        <f t="shared" si="33"/>
        <v>53.65</v>
      </c>
      <c r="C2088" s="280">
        <v>45904</v>
      </c>
      <c r="D2088" s="279">
        <v>45908</v>
      </c>
      <c r="E2088" s="279">
        <v>45908</v>
      </c>
      <c r="F2088" s="132"/>
      <c r="G2088" s="132" t="s">
        <v>5509</v>
      </c>
      <c r="H2088" s="132" t="s">
        <v>373</v>
      </c>
      <c r="I2088" s="132" t="s">
        <v>1100</v>
      </c>
      <c r="J2088" s="132" t="s">
        <v>5602</v>
      </c>
      <c r="K2088" s="132" t="s">
        <v>5608</v>
      </c>
      <c r="L2088" s="132" t="s">
        <v>5609</v>
      </c>
      <c r="M2088" s="132" t="s">
        <v>5592</v>
      </c>
      <c r="N2088" s="132" t="s">
        <v>1105</v>
      </c>
      <c r="O2088" s="132" t="s">
        <v>5671</v>
      </c>
      <c r="P2088" s="132" t="s">
        <v>5607</v>
      </c>
      <c r="Q2088" s="132" t="s">
        <v>1108</v>
      </c>
    </row>
    <row r="2089" spans="1:17" x14ac:dyDescent="0.2">
      <c r="A2089" t="s">
        <v>293</v>
      </c>
      <c r="B2089" s="141">
        <f t="shared" si="33"/>
        <v>53.65</v>
      </c>
      <c r="C2089" s="280">
        <v>45904</v>
      </c>
      <c r="D2089" s="279">
        <v>45908</v>
      </c>
      <c r="E2089" s="279">
        <v>45908</v>
      </c>
      <c r="F2089" s="132"/>
      <c r="G2089" s="132" t="s">
        <v>5189</v>
      </c>
      <c r="H2089" s="132" t="s">
        <v>373</v>
      </c>
      <c r="I2089" s="132" t="s">
        <v>1100</v>
      </c>
      <c r="J2089" s="132" t="s">
        <v>5602</v>
      </c>
      <c r="K2089" s="132" t="s">
        <v>5608</v>
      </c>
      <c r="L2089" s="132" t="s">
        <v>5609</v>
      </c>
      <c r="M2089" s="132" t="s">
        <v>5672</v>
      </c>
      <c r="N2089" s="132" t="s">
        <v>1105</v>
      </c>
      <c r="O2089" s="132" t="s">
        <v>5673</v>
      </c>
      <c r="P2089" s="132" t="s">
        <v>5607</v>
      </c>
      <c r="Q2089" s="132" t="s">
        <v>1108</v>
      </c>
    </row>
    <row r="2090" spans="1:17" x14ac:dyDescent="0.2">
      <c r="A2090" t="s">
        <v>293</v>
      </c>
      <c r="B2090" s="141">
        <f t="shared" si="33"/>
        <v>53.32</v>
      </c>
      <c r="C2090" s="280">
        <v>45904</v>
      </c>
      <c r="D2090" s="279">
        <v>45908</v>
      </c>
      <c r="E2090" s="279">
        <v>45908</v>
      </c>
      <c r="F2090" s="132"/>
      <c r="G2090" s="132" t="s">
        <v>1108</v>
      </c>
      <c r="H2090" s="132" t="s">
        <v>373</v>
      </c>
      <c r="I2090" s="132" t="s">
        <v>1100</v>
      </c>
      <c r="J2090" s="132" t="s">
        <v>5602</v>
      </c>
      <c r="K2090" s="132" t="s">
        <v>5603</v>
      </c>
      <c r="L2090" s="132" t="s">
        <v>5604</v>
      </c>
      <c r="M2090" s="132" t="s">
        <v>5674</v>
      </c>
      <c r="N2090" s="132" t="s">
        <v>1112</v>
      </c>
      <c r="O2090" s="132" t="s">
        <v>5675</v>
      </c>
      <c r="P2090" s="132" t="s">
        <v>5607</v>
      </c>
      <c r="Q2090" s="132" t="s">
        <v>1108</v>
      </c>
    </row>
    <row r="2091" spans="1:17" x14ac:dyDescent="0.2">
      <c r="A2091" t="s">
        <v>293</v>
      </c>
      <c r="B2091" s="141">
        <f t="shared" si="33"/>
        <v>53.65</v>
      </c>
      <c r="C2091" s="280">
        <v>45904</v>
      </c>
      <c r="D2091" s="279">
        <v>45908</v>
      </c>
      <c r="E2091" s="279">
        <v>45908</v>
      </c>
      <c r="F2091" s="132"/>
      <c r="G2091" s="132" t="s">
        <v>5677</v>
      </c>
      <c r="H2091" s="132" t="s">
        <v>373</v>
      </c>
      <c r="I2091" s="132" t="s">
        <v>1100</v>
      </c>
      <c r="J2091" s="132" t="s">
        <v>5602</v>
      </c>
      <c r="K2091" s="132" t="s">
        <v>5608</v>
      </c>
      <c r="L2091" s="132" t="s">
        <v>5609</v>
      </c>
      <c r="M2091" s="132" t="s">
        <v>5678</v>
      </c>
      <c r="N2091" s="132" t="s">
        <v>1105</v>
      </c>
      <c r="O2091" s="132" t="s">
        <v>5679</v>
      </c>
      <c r="P2091" s="132" t="s">
        <v>5607</v>
      </c>
      <c r="Q2091" s="132" t="s">
        <v>1108</v>
      </c>
    </row>
    <row r="2092" spans="1:17" x14ac:dyDescent="0.2">
      <c r="A2092" t="s">
        <v>293</v>
      </c>
      <c r="B2092" s="141">
        <f t="shared" si="33"/>
        <v>53.32</v>
      </c>
      <c r="C2092" s="280">
        <v>45904</v>
      </c>
      <c r="D2092" s="279">
        <v>45908</v>
      </c>
      <c r="E2092" s="279">
        <v>45908</v>
      </c>
      <c r="F2092" s="132"/>
      <c r="G2092" s="132" t="s">
        <v>1108</v>
      </c>
      <c r="H2092" s="132" t="s">
        <v>373</v>
      </c>
      <c r="I2092" s="132" t="s">
        <v>1100</v>
      </c>
      <c r="J2092" s="132" t="s">
        <v>5602</v>
      </c>
      <c r="K2092" s="132" t="s">
        <v>5603</v>
      </c>
      <c r="L2092" s="132" t="s">
        <v>5604</v>
      </c>
      <c r="M2092" s="132" t="s">
        <v>5680</v>
      </c>
      <c r="N2092" s="132" t="s">
        <v>1112</v>
      </c>
      <c r="O2092" s="132" t="s">
        <v>5681</v>
      </c>
      <c r="P2092" s="132" t="s">
        <v>5607</v>
      </c>
      <c r="Q2092" s="132" t="s">
        <v>1108</v>
      </c>
    </row>
    <row r="2093" spans="1:17" x14ac:dyDescent="0.2">
      <c r="A2093" t="s">
        <v>81</v>
      </c>
      <c r="B2093" s="141">
        <f t="shared" si="33"/>
        <v>58.56</v>
      </c>
      <c r="C2093" s="280">
        <v>45904</v>
      </c>
      <c r="D2093" s="279">
        <v>45908</v>
      </c>
      <c r="E2093" s="279">
        <v>45908</v>
      </c>
      <c r="F2093" s="132"/>
      <c r="G2093" s="132" t="s">
        <v>5677</v>
      </c>
      <c r="H2093" s="132" t="s">
        <v>373</v>
      </c>
      <c r="I2093" s="132" t="s">
        <v>1100</v>
      </c>
      <c r="J2093" s="132" t="s">
        <v>4623</v>
      </c>
      <c r="K2093" s="132" t="s">
        <v>4672</v>
      </c>
      <c r="L2093" s="132" t="s">
        <v>4673</v>
      </c>
      <c r="M2093" s="132" t="s">
        <v>5682</v>
      </c>
      <c r="N2093" s="132" t="s">
        <v>1105</v>
      </c>
      <c r="O2093" s="132" t="s">
        <v>5683</v>
      </c>
      <c r="P2093" s="132" t="s">
        <v>5607</v>
      </c>
      <c r="Q2093" s="132" t="s">
        <v>1108</v>
      </c>
    </row>
    <row r="2094" spans="1:17" x14ac:dyDescent="0.2">
      <c r="A2094" t="s">
        <v>81</v>
      </c>
      <c r="B2094" s="141">
        <f t="shared" ref="B2094:B2157" si="34">_xlfn.NUMBERVALUE(L2094)*0.01</f>
        <v>58.56</v>
      </c>
      <c r="C2094" s="280">
        <v>45904</v>
      </c>
      <c r="D2094" s="279">
        <v>45908</v>
      </c>
      <c r="E2094" s="279">
        <v>45908</v>
      </c>
      <c r="F2094" s="132"/>
      <c r="G2094" s="132" t="s">
        <v>5189</v>
      </c>
      <c r="H2094" s="132" t="s">
        <v>373</v>
      </c>
      <c r="I2094" s="132" t="s">
        <v>1100</v>
      </c>
      <c r="J2094" s="132" t="s">
        <v>4623</v>
      </c>
      <c r="K2094" s="132" t="s">
        <v>4672</v>
      </c>
      <c r="L2094" s="132" t="s">
        <v>4673</v>
      </c>
      <c r="M2094" s="132" t="s">
        <v>5684</v>
      </c>
      <c r="N2094" s="132" t="s">
        <v>1105</v>
      </c>
      <c r="O2094" s="132" t="s">
        <v>5685</v>
      </c>
      <c r="P2094" s="132" t="s">
        <v>5607</v>
      </c>
      <c r="Q2094" s="132" t="s">
        <v>1108</v>
      </c>
    </row>
    <row r="2095" spans="1:17" x14ac:dyDescent="0.2">
      <c r="A2095" t="s">
        <v>293</v>
      </c>
      <c r="B2095" s="141">
        <f t="shared" si="34"/>
        <v>53.65</v>
      </c>
      <c r="C2095" s="280">
        <v>45904</v>
      </c>
      <c r="D2095" s="279">
        <v>45908</v>
      </c>
      <c r="E2095" s="279">
        <v>45908</v>
      </c>
      <c r="F2095" s="132"/>
      <c r="G2095" s="132" t="s">
        <v>5686</v>
      </c>
      <c r="H2095" s="132" t="s">
        <v>373</v>
      </c>
      <c r="I2095" s="132" t="s">
        <v>1100</v>
      </c>
      <c r="J2095" s="132" t="s">
        <v>5602</v>
      </c>
      <c r="K2095" s="132" t="s">
        <v>5608</v>
      </c>
      <c r="L2095" s="132" t="s">
        <v>5609</v>
      </c>
      <c r="M2095" s="132" t="s">
        <v>5687</v>
      </c>
      <c r="N2095" s="132" t="s">
        <v>1105</v>
      </c>
      <c r="O2095" s="132" t="s">
        <v>5688</v>
      </c>
      <c r="P2095" s="132" t="s">
        <v>5607</v>
      </c>
      <c r="Q2095" s="132" t="s">
        <v>1108</v>
      </c>
    </row>
    <row r="2096" spans="1:17" x14ac:dyDescent="0.2">
      <c r="A2096" t="s">
        <v>81</v>
      </c>
      <c r="B2096" s="141">
        <f t="shared" si="34"/>
        <v>58.56</v>
      </c>
      <c r="C2096" s="280">
        <v>45904</v>
      </c>
      <c r="D2096" s="279">
        <v>45908</v>
      </c>
      <c r="E2096" s="279">
        <v>45908</v>
      </c>
      <c r="F2096" s="132"/>
      <c r="G2096" s="132" t="s">
        <v>5686</v>
      </c>
      <c r="H2096" s="132" t="s">
        <v>373</v>
      </c>
      <c r="I2096" s="132" t="s">
        <v>1100</v>
      </c>
      <c r="J2096" s="132" t="s">
        <v>4623</v>
      </c>
      <c r="K2096" s="132" t="s">
        <v>4672</v>
      </c>
      <c r="L2096" s="132" t="s">
        <v>4673</v>
      </c>
      <c r="M2096" s="132" t="s">
        <v>5689</v>
      </c>
      <c r="N2096" s="132" t="s">
        <v>1105</v>
      </c>
      <c r="O2096" s="132" t="s">
        <v>5690</v>
      </c>
      <c r="P2096" s="132" t="s">
        <v>5607</v>
      </c>
      <c r="Q2096" s="132" t="s">
        <v>1108</v>
      </c>
    </row>
    <row r="2097" spans="1:17" x14ac:dyDescent="0.2">
      <c r="A2097" t="s">
        <v>293</v>
      </c>
      <c r="B2097" s="141">
        <f t="shared" si="34"/>
        <v>53.65</v>
      </c>
      <c r="C2097" s="280">
        <v>45904</v>
      </c>
      <c r="D2097" s="279">
        <v>45908</v>
      </c>
      <c r="E2097" s="279">
        <v>45908</v>
      </c>
      <c r="F2097" s="132"/>
      <c r="G2097" s="132" t="s">
        <v>1108</v>
      </c>
      <c r="H2097" s="132" t="s">
        <v>373</v>
      </c>
      <c r="I2097" s="132" t="s">
        <v>1100</v>
      </c>
      <c r="J2097" s="132" t="s">
        <v>5602</v>
      </c>
      <c r="K2097" s="132" t="s">
        <v>5608</v>
      </c>
      <c r="L2097" s="132" t="s">
        <v>5609</v>
      </c>
      <c r="M2097" s="132" t="s">
        <v>5691</v>
      </c>
      <c r="N2097" s="132" t="s">
        <v>1117</v>
      </c>
      <c r="O2097" s="132" t="s">
        <v>5692</v>
      </c>
      <c r="P2097" s="132" t="s">
        <v>5607</v>
      </c>
      <c r="Q2097" s="132" t="s">
        <v>1108</v>
      </c>
    </row>
    <row r="2098" spans="1:17" x14ac:dyDescent="0.2">
      <c r="A2098" t="s">
        <v>293</v>
      </c>
      <c r="B2098" s="141">
        <f t="shared" si="34"/>
        <v>53.65</v>
      </c>
      <c r="C2098" s="280">
        <v>45904</v>
      </c>
      <c r="D2098" s="279">
        <v>45908</v>
      </c>
      <c r="E2098" s="279">
        <v>45908</v>
      </c>
      <c r="F2098" s="132"/>
      <c r="G2098" s="132" t="s">
        <v>1108</v>
      </c>
      <c r="H2098" s="132" t="s">
        <v>373</v>
      </c>
      <c r="I2098" s="132" t="s">
        <v>1100</v>
      </c>
      <c r="J2098" s="132" t="s">
        <v>5602</v>
      </c>
      <c r="K2098" s="132" t="s">
        <v>5608</v>
      </c>
      <c r="L2098" s="132" t="s">
        <v>5609</v>
      </c>
      <c r="M2098" s="132" t="s">
        <v>5693</v>
      </c>
      <c r="N2098" s="132" t="s">
        <v>4957</v>
      </c>
      <c r="O2098" s="132" t="s">
        <v>5694</v>
      </c>
      <c r="P2098" s="132" t="s">
        <v>5607</v>
      </c>
      <c r="Q2098" s="132" t="s">
        <v>1108</v>
      </c>
    </row>
    <row r="2099" spans="1:17" x14ac:dyDescent="0.2">
      <c r="A2099" t="s">
        <v>293</v>
      </c>
      <c r="B2099" s="141">
        <f t="shared" si="34"/>
        <v>53.65</v>
      </c>
      <c r="C2099" s="280">
        <v>45904</v>
      </c>
      <c r="D2099" s="279">
        <v>45908</v>
      </c>
      <c r="E2099" s="279">
        <v>45908</v>
      </c>
      <c r="F2099" s="132"/>
      <c r="G2099" s="132" t="s">
        <v>5152</v>
      </c>
      <c r="H2099" s="132" t="s">
        <v>373</v>
      </c>
      <c r="I2099" s="132" t="s">
        <v>1100</v>
      </c>
      <c r="J2099" s="132" t="s">
        <v>5602</v>
      </c>
      <c r="K2099" s="132" t="s">
        <v>5608</v>
      </c>
      <c r="L2099" s="132" t="s">
        <v>5609</v>
      </c>
      <c r="M2099" s="132" t="s">
        <v>5695</v>
      </c>
      <c r="N2099" s="132" t="s">
        <v>1105</v>
      </c>
      <c r="O2099" s="281" t="s">
        <v>5696</v>
      </c>
      <c r="P2099" s="132" t="s">
        <v>5607</v>
      </c>
      <c r="Q2099" s="132" t="s">
        <v>1108</v>
      </c>
    </row>
    <row r="2100" spans="1:17" x14ac:dyDescent="0.2">
      <c r="A2100" t="s">
        <v>293</v>
      </c>
      <c r="B2100" s="141">
        <f t="shared" si="34"/>
        <v>53.65</v>
      </c>
      <c r="C2100" s="280">
        <v>45904</v>
      </c>
      <c r="D2100" s="279">
        <v>45908</v>
      </c>
      <c r="E2100" s="279">
        <v>45908</v>
      </c>
      <c r="F2100" s="132"/>
      <c r="G2100" s="132" t="s">
        <v>5259</v>
      </c>
      <c r="H2100" s="132" t="s">
        <v>373</v>
      </c>
      <c r="I2100" s="132" t="s">
        <v>1100</v>
      </c>
      <c r="J2100" s="132" t="s">
        <v>5602</v>
      </c>
      <c r="K2100" s="132" t="s">
        <v>5608</v>
      </c>
      <c r="L2100" s="132" t="s">
        <v>5609</v>
      </c>
      <c r="M2100" s="132" t="s">
        <v>5697</v>
      </c>
      <c r="N2100" s="132" t="s">
        <v>1105</v>
      </c>
      <c r="O2100" s="132" t="s">
        <v>5698</v>
      </c>
      <c r="P2100" s="132" t="s">
        <v>5607</v>
      </c>
      <c r="Q2100" s="132" t="s">
        <v>1108</v>
      </c>
    </row>
    <row r="2101" spans="1:17" x14ac:dyDescent="0.2">
      <c r="A2101" t="s">
        <v>293</v>
      </c>
      <c r="B2101" s="141">
        <f t="shared" si="34"/>
        <v>53.32</v>
      </c>
      <c r="C2101" s="280">
        <v>45904</v>
      </c>
      <c r="D2101" s="279">
        <v>45908</v>
      </c>
      <c r="E2101" s="279">
        <v>45908</v>
      </c>
      <c r="F2101" s="132"/>
      <c r="G2101" s="132" t="s">
        <v>1108</v>
      </c>
      <c r="H2101" s="132" t="s">
        <v>373</v>
      </c>
      <c r="I2101" s="132" t="s">
        <v>1100</v>
      </c>
      <c r="J2101" s="132" t="s">
        <v>5602</v>
      </c>
      <c r="K2101" s="132" t="s">
        <v>5603</v>
      </c>
      <c r="L2101" s="132" t="s">
        <v>5604</v>
      </c>
      <c r="M2101" s="132" t="s">
        <v>5699</v>
      </c>
      <c r="N2101" s="132" t="s">
        <v>1112</v>
      </c>
      <c r="O2101" s="132" t="s">
        <v>5700</v>
      </c>
      <c r="P2101" s="132" t="s">
        <v>5607</v>
      </c>
      <c r="Q2101" s="132" t="s">
        <v>1108</v>
      </c>
    </row>
    <row r="2102" spans="1:17" x14ac:dyDescent="0.2">
      <c r="A2102" t="s">
        <v>293</v>
      </c>
      <c r="B2102" s="141">
        <f t="shared" si="34"/>
        <v>53.65</v>
      </c>
      <c r="C2102" s="280">
        <v>45904</v>
      </c>
      <c r="D2102" s="279">
        <v>45908</v>
      </c>
      <c r="E2102" s="279">
        <v>45908</v>
      </c>
      <c r="F2102" s="132"/>
      <c r="G2102" s="132" t="s">
        <v>1108</v>
      </c>
      <c r="H2102" s="132" t="s">
        <v>373</v>
      </c>
      <c r="I2102" s="132" t="s">
        <v>1100</v>
      </c>
      <c r="J2102" s="132" t="s">
        <v>5602</v>
      </c>
      <c r="K2102" s="132" t="s">
        <v>5608</v>
      </c>
      <c r="L2102" s="132" t="s">
        <v>5609</v>
      </c>
      <c r="M2102" s="132" t="s">
        <v>5701</v>
      </c>
      <c r="N2102" s="132" t="s">
        <v>1117</v>
      </c>
      <c r="O2102" s="132" t="s">
        <v>5702</v>
      </c>
      <c r="P2102" s="132" t="s">
        <v>5607</v>
      </c>
      <c r="Q2102" s="132" t="s">
        <v>1108</v>
      </c>
    </row>
    <row r="2103" spans="1:17" x14ac:dyDescent="0.2">
      <c r="A2103" t="s">
        <v>81</v>
      </c>
      <c r="B2103" s="141">
        <f t="shared" si="34"/>
        <v>58.56</v>
      </c>
      <c r="C2103" s="280">
        <v>45904</v>
      </c>
      <c r="D2103" s="279">
        <v>45908</v>
      </c>
      <c r="E2103" s="279">
        <v>45908</v>
      </c>
      <c r="F2103" s="132"/>
      <c r="G2103" s="132" t="s">
        <v>5259</v>
      </c>
      <c r="H2103" s="132" t="s">
        <v>373</v>
      </c>
      <c r="I2103" s="132" t="s">
        <v>1100</v>
      </c>
      <c r="J2103" s="132" t="s">
        <v>4623</v>
      </c>
      <c r="K2103" s="132" t="s">
        <v>4672</v>
      </c>
      <c r="L2103" s="132" t="s">
        <v>4673</v>
      </c>
      <c r="M2103" s="132" t="s">
        <v>5703</v>
      </c>
      <c r="N2103" s="132" t="s">
        <v>1105</v>
      </c>
      <c r="O2103" s="132" t="s">
        <v>5704</v>
      </c>
      <c r="P2103" s="132" t="s">
        <v>5607</v>
      </c>
      <c r="Q2103" s="132" t="s">
        <v>1108</v>
      </c>
    </row>
    <row r="2104" spans="1:17" x14ac:dyDescent="0.2">
      <c r="A2104" t="s">
        <v>293</v>
      </c>
      <c r="B2104" s="141">
        <f t="shared" si="34"/>
        <v>53.65</v>
      </c>
      <c r="C2104" s="280">
        <v>45904</v>
      </c>
      <c r="D2104" s="279">
        <v>45908</v>
      </c>
      <c r="E2104" s="279">
        <v>45908</v>
      </c>
      <c r="F2104" s="132"/>
      <c r="G2104" s="132" t="s">
        <v>5493</v>
      </c>
      <c r="H2104" s="132" t="s">
        <v>373</v>
      </c>
      <c r="I2104" s="132" t="s">
        <v>1100</v>
      </c>
      <c r="J2104" s="132" t="s">
        <v>5602</v>
      </c>
      <c r="K2104" s="132" t="s">
        <v>5608</v>
      </c>
      <c r="L2104" s="132" t="s">
        <v>5609</v>
      </c>
      <c r="M2104" s="132" t="s">
        <v>5705</v>
      </c>
      <c r="N2104" s="132" t="s">
        <v>1105</v>
      </c>
      <c r="O2104" s="132" t="s">
        <v>5706</v>
      </c>
      <c r="P2104" s="132" t="s">
        <v>5607</v>
      </c>
      <c r="Q2104" s="132" t="s">
        <v>1108</v>
      </c>
    </row>
    <row r="2105" spans="1:17" x14ac:dyDescent="0.2">
      <c r="A2105" t="s">
        <v>293</v>
      </c>
      <c r="B2105" s="141">
        <f t="shared" si="34"/>
        <v>53.65</v>
      </c>
      <c r="C2105" s="280">
        <v>45904</v>
      </c>
      <c r="D2105" s="279">
        <v>45908</v>
      </c>
      <c r="E2105" s="279">
        <v>45908</v>
      </c>
      <c r="F2105" s="132"/>
      <c r="G2105" s="132" t="s">
        <v>5493</v>
      </c>
      <c r="H2105" s="132" t="s">
        <v>373</v>
      </c>
      <c r="I2105" s="132" t="s">
        <v>1100</v>
      </c>
      <c r="J2105" s="132" t="s">
        <v>5602</v>
      </c>
      <c r="K2105" s="132" t="s">
        <v>5608</v>
      </c>
      <c r="L2105" s="132" t="s">
        <v>5609</v>
      </c>
      <c r="M2105" s="132" t="s">
        <v>5707</v>
      </c>
      <c r="N2105" s="132" t="s">
        <v>1105</v>
      </c>
      <c r="O2105" s="132" t="s">
        <v>5708</v>
      </c>
      <c r="P2105" s="132" t="s">
        <v>5607</v>
      </c>
      <c r="Q2105" s="132" t="s">
        <v>1108</v>
      </c>
    </row>
    <row r="2106" spans="1:17" x14ac:dyDescent="0.2">
      <c r="A2106" t="s">
        <v>293</v>
      </c>
      <c r="B2106" s="141">
        <f t="shared" si="34"/>
        <v>53.65</v>
      </c>
      <c r="C2106" s="280">
        <v>45904</v>
      </c>
      <c r="D2106" s="279">
        <v>45908</v>
      </c>
      <c r="E2106" s="279">
        <v>45908</v>
      </c>
      <c r="F2106" s="132"/>
      <c r="G2106" s="132" t="s">
        <v>1108</v>
      </c>
      <c r="H2106" s="132" t="s">
        <v>373</v>
      </c>
      <c r="I2106" s="132" t="s">
        <v>1100</v>
      </c>
      <c r="J2106" s="132" t="s">
        <v>5602</v>
      </c>
      <c r="K2106" s="132" t="s">
        <v>5608</v>
      </c>
      <c r="L2106" s="132" t="s">
        <v>5609</v>
      </c>
      <c r="M2106" s="132" t="s">
        <v>5709</v>
      </c>
      <c r="N2106" s="132" t="s">
        <v>1117</v>
      </c>
      <c r="O2106" s="132" t="s">
        <v>5710</v>
      </c>
      <c r="P2106" s="132" t="s">
        <v>5607</v>
      </c>
      <c r="Q2106" s="132" t="s">
        <v>1108</v>
      </c>
    </row>
    <row r="2107" spans="1:17" x14ac:dyDescent="0.2">
      <c r="A2107" t="s">
        <v>293</v>
      </c>
      <c r="B2107" s="141">
        <f t="shared" si="34"/>
        <v>53.32</v>
      </c>
      <c r="C2107" s="280">
        <v>45904</v>
      </c>
      <c r="D2107" s="279">
        <v>45908</v>
      </c>
      <c r="E2107" s="279">
        <v>45908</v>
      </c>
      <c r="F2107" s="132"/>
      <c r="G2107" s="132" t="s">
        <v>1108</v>
      </c>
      <c r="H2107" s="132" t="s">
        <v>373</v>
      </c>
      <c r="I2107" s="132" t="s">
        <v>1100</v>
      </c>
      <c r="J2107" s="132" t="s">
        <v>5602</v>
      </c>
      <c r="K2107" s="132" t="s">
        <v>5603</v>
      </c>
      <c r="L2107" s="132" t="s">
        <v>5604</v>
      </c>
      <c r="M2107" s="281" t="s">
        <v>5711</v>
      </c>
      <c r="N2107" s="132" t="s">
        <v>1112</v>
      </c>
      <c r="O2107" s="132" t="s">
        <v>5712</v>
      </c>
      <c r="P2107" s="132" t="s">
        <v>5607</v>
      </c>
      <c r="Q2107" s="132" t="s">
        <v>1108</v>
      </c>
    </row>
    <row r="2108" spans="1:17" x14ac:dyDescent="0.2">
      <c r="A2108" t="s">
        <v>293</v>
      </c>
      <c r="B2108" s="141">
        <f t="shared" si="34"/>
        <v>53.32</v>
      </c>
      <c r="C2108" s="280">
        <v>45904</v>
      </c>
      <c r="D2108" s="279">
        <v>45908</v>
      </c>
      <c r="E2108" s="279">
        <v>45908</v>
      </c>
      <c r="F2108" s="132"/>
      <c r="G2108" s="132" t="s">
        <v>1108</v>
      </c>
      <c r="H2108" s="132" t="s">
        <v>373</v>
      </c>
      <c r="I2108" s="132" t="s">
        <v>1100</v>
      </c>
      <c r="J2108" s="132" t="s">
        <v>5602</v>
      </c>
      <c r="K2108" s="132" t="s">
        <v>5603</v>
      </c>
      <c r="L2108" s="132" t="s">
        <v>5604</v>
      </c>
      <c r="M2108" s="132" t="s">
        <v>5713</v>
      </c>
      <c r="N2108" s="132" t="s">
        <v>1112</v>
      </c>
      <c r="O2108" s="132" t="s">
        <v>5714</v>
      </c>
      <c r="P2108" s="132" t="s">
        <v>5607</v>
      </c>
      <c r="Q2108" s="132" t="s">
        <v>1108</v>
      </c>
    </row>
    <row r="2109" spans="1:17" x14ac:dyDescent="0.2">
      <c r="A2109" t="s">
        <v>81</v>
      </c>
      <c r="B2109" s="141">
        <f t="shared" si="34"/>
        <v>58.56</v>
      </c>
      <c r="C2109" s="280">
        <v>45904</v>
      </c>
      <c r="D2109" s="279">
        <v>45908</v>
      </c>
      <c r="E2109" s="279">
        <v>45908</v>
      </c>
      <c r="F2109" s="132"/>
      <c r="G2109" s="132" t="s">
        <v>4899</v>
      </c>
      <c r="H2109" s="132" t="s">
        <v>373</v>
      </c>
      <c r="I2109" s="132" t="s">
        <v>1100</v>
      </c>
      <c r="J2109" s="132" t="s">
        <v>4623</v>
      </c>
      <c r="K2109" s="132" t="s">
        <v>4672</v>
      </c>
      <c r="L2109" s="132" t="s">
        <v>4673</v>
      </c>
      <c r="M2109" s="132" t="s">
        <v>5715</v>
      </c>
      <c r="N2109" s="132" t="s">
        <v>1105</v>
      </c>
      <c r="O2109" s="132" t="s">
        <v>5716</v>
      </c>
      <c r="P2109" s="132" t="s">
        <v>5607</v>
      </c>
      <c r="Q2109" s="132" t="s">
        <v>1108</v>
      </c>
    </row>
    <row r="2110" spans="1:17" x14ac:dyDescent="0.2">
      <c r="A2110" t="s">
        <v>293</v>
      </c>
      <c r="B2110" s="141">
        <f t="shared" si="34"/>
        <v>53.65</v>
      </c>
      <c r="C2110" s="280">
        <v>45904</v>
      </c>
      <c r="D2110" s="279">
        <v>45908</v>
      </c>
      <c r="E2110" s="279">
        <v>45908</v>
      </c>
      <c r="F2110" s="132"/>
      <c r="G2110" s="132" t="s">
        <v>4829</v>
      </c>
      <c r="H2110" s="132" t="s">
        <v>373</v>
      </c>
      <c r="I2110" s="132" t="s">
        <v>1100</v>
      </c>
      <c r="J2110" s="132" t="s">
        <v>5602</v>
      </c>
      <c r="K2110" s="132" t="s">
        <v>5608</v>
      </c>
      <c r="L2110" s="132" t="s">
        <v>5609</v>
      </c>
      <c r="M2110" s="132" t="s">
        <v>5717</v>
      </c>
      <c r="N2110" s="132" t="s">
        <v>1105</v>
      </c>
      <c r="O2110" s="132" t="s">
        <v>5718</v>
      </c>
      <c r="P2110" s="132" t="s">
        <v>5607</v>
      </c>
      <c r="Q2110" s="132" t="s">
        <v>1108</v>
      </c>
    </row>
    <row r="2111" spans="1:17" x14ac:dyDescent="0.2">
      <c r="A2111" t="s">
        <v>293</v>
      </c>
      <c r="B2111" s="141">
        <f t="shared" si="34"/>
        <v>53.32</v>
      </c>
      <c r="C2111" s="280">
        <v>45904</v>
      </c>
      <c r="D2111" s="279">
        <v>45908</v>
      </c>
      <c r="E2111" s="279">
        <v>45908</v>
      </c>
      <c r="F2111" s="132"/>
      <c r="G2111" s="132" t="s">
        <v>1108</v>
      </c>
      <c r="H2111" s="132" t="s">
        <v>373</v>
      </c>
      <c r="I2111" s="132" t="s">
        <v>1100</v>
      </c>
      <c r="J2111" s="132" t="s">
        <v>5602</v>
      </c>
      <c r="K2111" s="132" t="s">
        <v>5603</v>
      </c>
      <c r="L2111" s="132" t="s">
        <v>5604</v>
      </c>
      <c r="M2111" s="132" t="s">
        <v>5719</v>
      </c>
      <c r="N2111" s="132" t="s">
        <v>1112</v>
      </c>
      <c r="O2111" s="132" t="s">
        <v>5720</v>
      </c>
      <c r="P2111" s="132" t="s">
        <v>5607</v>
      </c>
      <c r="Q2111" s="132" t="s">
        <v>1108</v>
      </c>
    </row>
    <row r="2112" spans="1:17" x14ac:dyDescent="0.2">
      <c r="A2112" t="s">
        <v>81</v>
      </c>
      <c r="B2112" s="141">
        <f t="shared" si="34"/>
        <v>58.2</v>
      </c>
      <c r="C2112" s="280">
        <v>45904</v>
      </c>
      <c r="D2112" s="279">
        <v>45908</v>
      </c>
      <c r="E2112" s="279">
        <v>45908</v>
      </c>
      <c r="F2112" s="132"/>
      <c r="G2112" s="132" t="s">
        <v>1108</v>
      </c>
      <c r="H2112" s="132" t="s">
        <v>373</v>
      </c>
      <c r="I2112" s="132" t="s">
        <v>1100</v>
      </c>
      <c r="J2112" s="132" t="s">
        <v>4623</v>
      </c>
      <c r="K2112" s="132" t="s">
        <v>4624</v>
      </c>
      <c r="L2112" s="132" t="s">
        <v>4625</v>
      </c>
      <c r="M2112" s="132" t="s">
        <v>5721</v>
      </c>
      <c r="N2112" s="132" t="s">
        <v>1112</v>
      </c>
      <c r="O2112" s="132" t="s">
        <v>5722</v>
      </c>
      <c r="P2112" s="132" t="s">
        <v>5607</v>
      </c>
      <c r="Q2112" s="132" t="s">
        <v>1108</v>
      </c>
    </row>
    <row r="2113" spans="1:17" x14ac:dyDescent="0.2">
      <c r="A2113" t="s">
        <v>293</v>
      </c>
      <c r="B2113" s="141">
        <f t="shared" si="34"/>
        <v>53.65</v>
      </c>
      <c r="C2113" s="280">
        <v>45904</v>
      </c>
      <c r="D2113" s="279">
        <v>45908</v>
      </c>
      <c r="E2113" s="279">
        <v>45908</v>
      </c>
      <c r="F2113" s="132"/>
      <c r="G2113" s="132" t="s">
        <v>4756</v>
      </c>
      <c r="H2113" s="132" t="s">
        <v>373</v>
      </c>
      <c r="I2113" s="132" t="s">
        <v>1100</v>
      </c>
      <c r="J2113" s="132" t="s">
        <v>5602</v>
      </c>
      <c r="K2113" s="132" t="s">
        <v>5608</v>
      </c>
      <c r="L2113" s="132" t="s">
        <v>5609</v>
      </c>
      <c r="M2113" s="132" t="s">
        <v>5723</v>
      </c>
      <c r="N2113" s="132" t="s">
        <v>1105</v>
      </c>
      <c r="O2113" s="132" t="s">
        <v>5724</v>
      </c>
      <c r="P2113" s="132" t="s">
        <v>5607</v>
      </c>
      <c r="Q2113" s="132" t="s">
        <v>1108</v>
      </c>
    </row>
    <row r="2114" spans="1:17" x14ac:dyDescent="0.2">
      <c r="A2114" t="s">
        <v>293</v>
      </c>
      <c r="B2114" s="141">
        <f t="shared" si="34"/>
        <v>53.65</v>
      </c>
      <c r="C2114" s="280">
        <v>45904</v>
      </c>
      <c r="D2114" s="279">
        <v>45908</v>
      </c>
      <c r="E2114" s="279">
        <v>45908</v>
      </c>
      <c r="F2114" s="132"/>
      <c r="G2114" s="132" t="s">
        <v>1108</v>
      </c>
      <c r="H2114" s="132" t="s">
        <v>373</v>
      </c>
      <c r="I2114" s="132" t="s">
        <v>1100</v>
      </c>
      <c r="J2114" s="132" t="s">
        <v>5602</v>
      </c>
      <c r="K2114" s="132" t="s">
        <v>5608</v>
      </c>
      <c r="L2114" s="132" t="s">
        <v>5609</v>
      </c>
      <c r="M2114" s="132" t="s">
        <v>5725</v>
      </c>
      <c r="N2114" s="132" t="s">
        <v>1117</v>
      </c>
      <c r="O2114" s="132" t="s">
        <v>5726</v>
      </c>
      <c r="P2114" s="132" t="s">
        <v>5607</v>
      </c>
      <c r="Q2114" s="132" t="s">
        <v>1108</v>
      </c>
    </row>
    <row r="2115" spans="1:17" x14ac:dyDescent="0.2">
      <c r="A2115" t="s">
        <v>81</v>
      </c>
      <c r="B2115" s="141">
        <f t="shared" si="34"/>
        <v>58.2</v>
      </c>
      <c r="C2115" s="280">
        <v>45904</v>
      </c>
      <c r="D2115" s="279">
        <v>45908</v>
      </c>
      <c r="E2115" s="279">
        <v>45908</v>
      </c>
      <c r="F2115" s="132"/>
      <c r="G2115" s="132" t="s">
        <v>1108</v>
      </c>
      <c r="H2115" s="132" t="s">
        <v>373</v>
      </c>
      <c r="I2115" s="132" t="s">
        <v>1100</v>
      </c>
      <c r="J2115" s="132" t="s">
        <v>4623</v>
      </c>
      <c r="K2115" s="132" t="s">
        <v>4624</v>
      </c>
      <c r="L2115" s="132" t="s">
        <v>4625</v>
      </c>
      <c r="M2115" s="132" t="s">
        <v>5727</v>
      </c>
      <c r="N2115" s="132" t="s">
        <v>1112</v>
      </c>
      <c r="O2115" s="132" t="s">
        <v>5728</v>
      </c>
      <c r="P2115" s="132" t="s">
        <v>5607</v>
      </c>
      <c r="Q2115" s="132" t="s">
        <v>1108</v>
      </c>
    </row>
    <row r="2116" spans="1:17" x14ac:dyDescent="0.2">
      <c r="A2116" t="s">
        <v>293</v>
      </c>
      <c r="B2116" s="141">
        <f t="shared" si="34"/>
        <v>53.65</v>
      </c>
      <c r="C2116" s="280">
        <v>45904</v>
      </c>
      <c r="D2116" s="279">
        <v>45908</v>
      </c>
      <c r="E2116" s="279">
        <v>45908</v>
      </c>
      <c r="F2116" s="132"/>
      <c r="G2116" s="132" t="s">
        <v>1108</v>
      </c>
      <c r="H2116" s="132" t="s">
        <v>373</v>
      </c>
      <c r="I2116" s="132" t="s">
        <v>1100</v>
      </c>
      <c r="J2116" s="132" t="s">
        <v>5602</v>
      </c>
      <c r="K2116" s="132" t="s">
        <v>5608</v>
      </c>
      <c r="L2116" s="132" t="s">
        <v>5609</v>
      </c>
      <c r="M2116" s="132" t="s">
        <v>5729</v>
      </c>
      <c r="N2116" s="132" t="s">
        <v>1117</v>
      </c>
      <c r="O2116" s="132" t="s">
        <v>5730</v>
      </c>
      <c r="P2116" s="132" t="s">
        <v>5607</v>
      </c>
      <c r="Q2116" s="132" t="s">
        <v>1108</v>
      </c>
    </row>
    <row r="2117" spans="1:17" x14ac:dyDescent="0.2">
      <c r="A2117" t="s">
        <v>293</v>
      </c>
      <c r="B2117" s="141">
        <f t="shared" si="34"/>
        <v>53.32</v>
      </c>
      <c r="C2117" s="280">
        <v>45904</v>
      </c>
      <c r="D2117" s="279">
        <v>45908</v>
      </c>
      <c r="E2117" s="279">
        <v>45908</v>
      </c>
      <c r="F2117" s="132"/>
      <c r="G2117" s="132" t="s">
        <v>1108</v>
      </c>
      <c r="H2117" s="132" t="s">
        <v>373</v>
      </c>
      <c r="I2117" s="132" t="s">
        <v>1100</v>
      </c>
      <c r="J2117" s="132" t="s">
        <v>5602</v>
      </c>
      <c r="K2117" s="132" t="s">
        <v>5603</v>
      </c>
      <c r="L2117" s="132" t="s">
        <v>5604</v>
      </c>
      <c r="M2117" s="132" t="s">
        <v>5731</v>
      </c>
      <c r="N2117" s="132" t="s">
        <v>1112</v>
      </c>
      <c r="O2117" s="132" t="s">
        <v>5732</v>
      </c>
      <c r="P2117" s="132" t="s">
        <v>5607</v>
      </c>
      <c r="Q2117" s="132" t="s">
        <v>1108</v>
      </c>
    </row>
    <row r="2118" spans="1:17" x14ac:dyDescent="0.2">
      <c r="A2118" t="s">
        <v>293</v>
      </c>
      <c r="B2118" s="141">
        <f t="shared" si="34"/>
        <v>53.32</v>
      </c>
      <c r="C2118" s="280">
        <v>45904</v>
      </c>
      <c r="D2118" s="279">
        <v>45908</v>
      </c>
      <c r="E2118" s="279">
        <v>45908</v>
      </c>
      <c r="F2118" s="132"/>
      <c r="G2118" s="132" t="s">
        <v>1108</v>
      </c>
      <c r="H2118" s="132" t="s">
        <v>373</v>
      </c>
      <c r="I2118" s="132" t="s">
        <v>1100</v>
      </c>
      <c r="J2118" s="132" t="s">
        <v>5602</v>
      </c>
      <c r="K2118" s="132" t="s">
        <v>5603</v>
      </c>
      <c r="L2118" s="132" t="s">
        <v>5604</v>
      </c>
      <c r="M2118" s="132" t="s">
        <v>5733</v>
      </c>
      <c r="N2118" s="132" t="s">
        <v>1112</v>
      </c>
      <c r="O2118" s="132" t="s">
        <v>5734</v>
      </c>
      <c r="P2118" s="132" t="s">
        <v>5607</v>
      </c>
      <c r="Q2118" s="132" t="s">
        <v>1108</v>
      </c>
    </row>
    <row r="2119" spans="1:17" x14ac:dyDescent="0.2">
      <c r="A2119" t="s">
        <v>81</v>
      </c>
      <c r="B2119" s="141">
        <f t="shared" si="34"/>
        <v>58.56</v>
      </c>
      <c r="C2119" s="280">
        <v>45904</v>
      </c>
      <c r="D2119" s="279">
        <v>45908</v>
      </c>
      <c r="E2119" s="279">
        <v>45908</v>
      </c>
      <c r="F2119" s="132"/>
      <c r="G2119" s="132" t="s">
        <v>4756</v>
      </c>
      <c r="H2119" s="132" t="s">
        <v>373</v>
      </c>
      <c r="I2119" s="132" t="s">
        <v>1100</v>
      </c>
      <c r="J2119" s="132" t="s">
        <v>4623</v>
      </c>
      <c r="K2119" s="132" t="s">
        <v>4672</v>
      </c>
      <c r="L2119" s="132" t="s">
        <v>4673</v>
      </c>
      <c r="M2119" s="132" t="s">
        <v>5735</v>
      </c>
      <c r="N2119" s="132" t="s">
        <v>1105</v>
      </c>
      <c r="O2119" s="132" t="s">
        <v>5736</v>
      </c>
      <c r="P2119" s="132" t="s">
        <v>5607</v>
      </c>
      <c r="Q2119" s="132" t="s">
        <v>1108</v>
      </c>
    </row>
    <row r="2120" spans="1:17" x14ac:dyDescent="0.2">
      <c r="A2120" t="s">
        <v>293</v>
      </c>
      <c r="B2120" s="141">
        <f t="shared" si="34"/>
        <v>53.32</v>
      </c>
      <c r="C2120" s="280">
        <v>45904</v>
      </c>
      <c r="D2120" s="279">
        <v>45908</v>
      </c>
      <c r="E2120" s="279">
        <v>45908</v>
      </c>
      <c r="F2120" s="132"/>
      <c r="G2120" s="132" t="s">
        <v>1108</v>
      </c>
      <c r="H2120" s="132" t="s">
        <v>373</v>
      </c>
      <c r="I2120" s="132" t="s">
        <v>1100</v>
      </c>
      <c r="J2120" s="132" t="s">
        <v>5602</v>
      </c>
      <c r="K2120" s="132" t="s">
        <v>5603</v>
      </c>
      <c r="L2120" s="132" t="s">
        <v>5604</v>
      </c>
      <c r="M2120" s="132" t="s">
        <v>5737</v>
      </c>
      <c r="N2120" s="132" t="s">
        <v>1112</v>
      </c>
      <c r="O2120" s="132" t="s">
        <v>5738</v>
      </c>
      <c r="P2120" s="132" t="s">
        <v>5607</v>
      </c>
      <c r="Q2120" s="132" t="s">
        <v>1108</v>
      </c>
    </row>
    <row r="2121" spans="1:17" x14ac:dyDescent="0.2">
      <c r="A2121" t="s">
        <v>293</v>
      </c>
      <c r="B2121" s="141">
        <f t="shared" si="34"/>
        <v>53.65</v>
      </c>
      <c r="C2121" s="280">
        <v>45904</v>
      </c>
      <c r="D2121" s="279">
        <v>45908</v>
      </c>
      <c r="E2121" s="279">
        <v>45908</v>
      </c>
      <c r="F2121" s="132"/>
      <c r="G2121" s="132" t="s">
        <v>5517</v>
      </c>
      <c r="H2121" s="132" t="s">
        <v>373</v>
      </c>
      <c r="I2121" s="132" t="s">
        <v>1100</v>
      </c>
      <c r="J2121" s="132" t="s">
        <v>5602</v>
      </c>
      <c r="K2121" s="132" t="s">
        <v>5608</v>
      </c>
      <c r="L2121" s="132" t="s">
        <v>5609</v>
      </c>
      <c r="M2121" s="132" t="s">
        <v>5739</v>
      </c>
      <c r="N2121" s="132" t="s">
        <v>1105</v>
      </c>
      <c r="O2121" s="132" t="s">
        <v>5740</v>
      </c>
      <c r="P2121" s="132" t="s">
        <v>5607</v>
      </c>
      <c r="Q2121" s="132" t="s">
        <v>1108</v>
      </c>
    </row>
    <row r="2122" spans="1:17" x14ac:dyDescent="0.2">
      <c r="A2122" t="s">
        <v>293</v>
      </c>
      <c r="B2122" s="141">
        <f t="shared" si="34"/>
        <v>53.32</v>
      </c>
      <c r="C2122" s="280">
        <v>45904</v>
      </c>
      <c r="D2122" s="279">
        <v>45908</v>
      </c>
      <c r="E2122" s="279">
        <v>45908</v>
      </c>
      <c r="F2122" s="132"/>
      <c r="G2122" s="132" t="s">
        <v>1108</v>
      </c>
      <c r="H2122" s="132" t="s">
        <v>373</v>
      </c>
      <c r="I2122" s="132" t="s">
        <v>1100</v>
      </c>
      <c r="J2122" s="132" t="s">
        <v>5602</v>
      </c>
      <c r="K2122" s="132" t="s">
        <v>5603</v>
      </c>
      <c r="L2122" s="132" t="s">
        <v>5604</v>
      </c>
      <c r="M2122" s="132" t="s">
        <v>5741</v>
      </c>
      <c r="N2122" s="132" t="s">
        <v>1112</v>
      </c>
      <c r="O2122" s="132" t="s">
        <v>5742</v>
      </c>
      <c r="P2122" s="132" t="s">
        <v>5607</v>
      </c>
      <c r="Q2122" s="132" t="s">
        <v>1108</v>
      </c>
    </row>
    <row r="2123" spans="1:17" x14ac:dyDescent="0.2">
      <c r="A2123" t="s">
        <v>81</v>
      </c>
      <c r="B2123" s="141">
        <f t="shared" si="34"/>
        <v>58.2</v>
      </c>
      <c r="C2123" s="280">
        <v>45904</v>
      </c>
      <c r="D2123" s="279">
        <v>45908</v>
      </c>
      <c r="E2123" s="279">
        <v>45908</v>
      </c>
      <c r="F2123" s="132"/>
      <c r="G2123" s="132" t="s">
        <v>1108</v>
      </c>
      <c r="H2123" s="132" t="s">
        <v>373</v>
      </c>
      <c r="I2123" s="132" t="s">
        <v>1100</v>
      </c>
      <c r="J2123" s="132" t="s">
        <v>4623</v>
      </c>
      <c r="K2123" s="132" t="s">
        <v>4624</v>
      </c>
      <c r="L2123" s="132" t="s">
        <v>4625</v>
      </c>
      <c r="M2123" s="132" t="s">
        <v>5743</v>
      </c>
      <c r="N2123" s="132" t="s">
        <v>1112</v>
      </c>
      <c r="O2123" s="132" t="s">
        <v>5744</v>
      </c>
      <c r="P2123" s="132" t="s">
        <v>5607</v>
      </c>
      <c r="Q2123" s="132" t="s">
        <v>1108</v>
      </c>
    </row>
    <row r="2124" spans="1:17" x14ac:dyDescent="0.2">
      <c r="A2124" t="s">
        <v>293</v>
      </c>
      <c r="B2124" s="141">
        <f t="shared" si="34"/>
        <v>53.32</v>
      </c>
      <c r="C2124" s="280">
        <v>45904</v>
      </c>
      <c r="D2124" s="279">
        <v>45908</v>
      </c>
      <c r="E2124" s="279">
        <v>45908</v>
      </c>
      <c r="F2124" s="132"/>
      <c r="G2124" s="132" t="s">
        <v>1108</v>
      </c>
      <c r="H2124" s="132" t="s">
        <v>373</v>
      </c>
      <c r="I2124" s="132" t="s">
        <v>1100</v>
      </c>
      <c r="J2124" s="132" t="s">
        <v>5602</v>
      </c>
      <c r="K2124" s="132" t="s">
        <v>5603</v>
      </c>
      <c r="L2124" s="132" t="s">
        <v>5604</v>
      </c>
      <c r="M2124" s="132" t="s">
        <v>5745</v>
      </c>
      <c r="N2124" s="132" t="s">
        <v>1112</v>
      </c>
      <c r="O2124" s="132" t="s">
        <v>5746</v>
      </c>
      <c r="P2124" s="132" t="s">
        <v>5607</v>
      </c>
      <c r="Q2124" s="132" t="s">
        <v>1108</v>
      </c>
    </row>
    <row r="2125" spans="1:17" x14ac:dyDescent="0.2">
      <c r="A2125" t="s">
        <v>81</v>
      </c>
      <c r="B2125" s="141">
        <f t="shared" si="34"/>
        <v>58.2</v>
      </c>
      <c r="C2125" s="280">
        <v>45904</v>
      </c>
      <c r="D2125" s="279">
        <v>45908</v>
      </c>
      <c r="E2125" s="279">
        <v>45908</v>
      </c>
      <c r="F2125" s="132"/>
      <c r="G2125" s="132" t="s">
        <v>1108</v>
      </c>
      <c r="H2125" s="132" t="s">
        <v>373</v>
      </c>
      <c r="I2125" s="132" t="s">
        <v>1100</v>
      </c>
      <c r="J2125" s="132" t="s">
        <v>4623</v>
      </c>
      <c r="K2125" s="132" t="s">
        <v>4624</v>
      </c>
      <c r="L2125" s="132" t="s">
        <v>4625</v>
      </c>
      <c r="M2125" s="132" t="s">
        <v>5747</v>
      </c>
      <c r="N2125" s="132" t="s">
        <v>1112</v>
      </c>
      <c r="O2125" s="132" t="s">
        <v>5748</v>
      </c>
      <c r="P2125" s="132" t="s">
        <v>5607</v>
      </c>
      <c r="Q2125" s="132" t="s">
        <v>1108</v>
      </c>
    </row>
    <row r="2126" spans="1:17" x14ac:dyDescent="0.2">
      <c r="A2126" t="s">
        <v>81</v>
      </c>
      <c r="B2126" s="141">
        <f t="shared" si="34"/>
        <v>58.2</v>
      </c>
      <c r="C2126" s="280">
        <v>45904</v>
      </c>
      <c r="D2126" s="279">
        <v>45908</v>
      </c>
      <c r="E2126" s="279">
        <v>45908</v>
      </c>
      <c r="F2126" s="132"/>
      <c r="G2126" s="132" t="s">
        <v>1108</v>
      </c>
      <c r="H2126" s="132" t="s">
        <v>373</v>
      </c>
      <c r="I2126" s="132" t="s">
        <v>1100</v>
      </c>
      <c r="J2126" s="132" t="s">
        <v>4623</v>
      </c>
      <c r="K2126" s="132" t="s">
        <v>4624</v>
      </c>
      <c r="L2126" s="132" t="s">
        <v>4625</v>
      </c>
      <c r="M2126" s="132" t="s">
        <v>5749</v>
      </c>
      <c r="N2126" s="132" t="s">
        <v>1112</v>
      </c>
      <c r="O2126" s="132" t="s">
        <v>5750</v>
      </c>
      <c r="P2126" s="132" t="s">
        <v>5607</v>
      </c>
      <c r="Q2126" s="132" t="s">
        <v>1108</v>
      </c>
    </row>
    <row r="2127" spans="1:17" x14ac:dyDescent="0.2">
      <c r="A2127" t="s">
        <v>293</v>
      </c>
      <c r="B2127" s="141">
        <f t="shared" si="34"/>
        <v>53.65</v>
      </c>
      <c r="C2127" s="280">
        <v>45904</v>
      </c>
      <c r="D2127" s="279">
        <v>45908</v>
      </c>
      <c r="E2127" s="279">
        <v>45908</v>
      </c>
      <c r="F2127" s="132"/>
      <c r="G2127" s="132" t="s">
        <v>1108</v>
      </c>
      <c r="H2127" s="132" t="s">
        <v>373</v>
      </c>
      <c r="I2127" s="132" t="s">
        <v>1100</v>
      </c>
      <c r="J2127" s="132" t="s">
        <v>5602</v>
      </c>
      <c r="K2127" s="132" t="s">
        <v>5608</v>
      </c>
      <c r="L2127" s="132" t="s">
        <v>5609</v>
      </c>
      <c r="M2127" s="132" t="s">
        <v>5751</v>
      </c>
      <c r="N2127" s="132" t="s">
        <v>1117</v>
      </c>
      <c r="O2127" s="132" t="s">
        <v>5752</v>
      </c>
      <c r="P2127" s="132" t="s">
        <v>5607</v>
      </c>
      <c r="Q2127" s="132" t="s">
        <v>1108</v>
      </c>
    </row>
    <row r="2128" spans="1:17" x14ac:dyDescent="0.2">
      <c r="A2128" t="s">
        <v>293</v>
      </c>
      <c r="B2128" s="141">
        <f t="shared" si="34"/>
        <v>53.32</v>
      </c>
      <c r="C2128" s="280">
        <v>45904</v>
      </c>
      <c r="D2128" s="279">
        <v>45908</v>
      </c>
      <c r="E2128" s="279">
        <v>45908</v>
      </c>
      <c r="F2128" s="132"/>
      <c r="G2128" s="132" t="s">
        <v>1108</v>
      </c>
      <c r="H2128" s="132" t="s">
        <v>373</v>
      </c>
      <c r="I2128" s="132" t="s">
        <v>1100</v>
      </c>
      <c r="J2128" s="132" t="s">
        <v>5602</v>
      </c>
      <c r="K2128" s="132" t="s">
        <v>5603</v>
      </c>
      <c r="L2128" s="132" t="s">
        <v>5604</v>
      </c>
      <c r="M2128" s="132" t="s">
        <v>5753</v>
      </c>
      <c r="N2128" s="132" t="s">
        <v>1112</v>
      </c>
      <c r="O2128" s="132" t="s">
        <v>5754</v>
      </c>
      <c r="P2128" s="132" t="s">
        <v>5607</v>
      </c>
      <c r="Q2128" s="132" t="s">
        <v>1108</v>
      </c>
    </row>
    <row r="2129" spans="1:17" x14ac:dyDescent="0.2">
      <c r="A2129" t="s">
        <v>293</v>
      </c>
      <c r="B2129" s="141">
        <f t="shared" si="34"/>
        <v>53.32</v>
      </c>
      <c r="C2129" s="280">
        <v>45904</v>
      </c>
      <c r="D2129" s="279">
        <v>45908</v>
      </c>
      <c r="E2129" s="279">
        <v>45908</v>
      </c>
      <c r="F2129" s="132"/>
      <c r="G2129" s="132" t="s">
        <v>1108</v>
      </c>
      <c r="H2129" s="132" t="s">
        <v>373</v>
      </c>
      <c r="I2129" s="132" t="s">
        <v>1100</v>
      </c>
      <c r="J2129" s="132" t="s">
        <v>5602</v>
      </c>
      <c r="K2129" s="132" t="s">
        <v>5603</v>
      </c>
      <c r="L2129" s="132" t="s">
        <v>5604</v>
      </c>
      <c r="M2129" s="132" t="s">
        <v>5755</v>
      </c>
      <c r="N2129" s="132" t="s">
        <v>1112</v>
      </c>
      <c r="O2129" s="132" t="s">
        <v>5756</v>
      </c>
      <c r="P2129" s="132" t="s">
        <v>5607</v>
      </c>
      <c r="Q2129" s="132" t="s">
        <v>1108</v>
      </c>
    </row>
    <row r="2130" spans="1:17" x14ac:dyDescent="0.2">
      <c r="A2130" t="s">
        <v>293</v>
      </c>
      <c r="B2130" s="141">
        <f t="shared" si="34"/>
        <v>53.65</v>
      </c>
      <c r="C2130" s="280">
        <v>45904</v>
      </c>
      <c r="D2130" s="279">
        <v>45908</v>
      </c>
      <c r="E2130" s="279">
        <v>45908</v>
      </c>
      <c r="F2130" s="132"/>
      <c r="G2130" s="132" t="s">
        <v>1108</v>
      </c>
      <c r="H2130" s="132" t="s">
        <v>373</v>
      </c>
      <c r="I2130" s="132" t="s">
        <v>1100</v>
      </c>
      <c r="J2130" s="132" t="s">
        <v>5602</v>
      </c>
      <c r="K2130" s="132" t="s">
        <v>5608</v>
      </c>
      <c r="L2130" s="132" t="s">
        <v>5609</v>
      </c>
      <c r="M2130" s="132" t="s">
        <v>5757</v>
      </c>
      <c r="N2130" s="132" t="s">
        <v>1117</v>
      </c>
      <c r="O2130" s="132" t="s">
        <v>5758</v>
      </c>
      <c r="P2130" s="132" t="s">
        <v>5607</v>
      </c>
      <c r="Q2130" s="132" t="s">
        <v>1108</v>
      </c>
    </row>
    <row r="2131" spans="1:17" x14ac:dyDescent="0.2">
      <c r="A2131" t="s">
        <v>293</v>
      </c>
      <c r="B2131" s="141">
        <f t="shared" si="34"/>
        <v>53.32</v>
      </c>
      <c r="C2131" s="280">
        <v>45904</v>
      </c>
      <c r="D2131" s="279">
        <v>45908</v>
      </c>
      <c r="E2131" s="279">
        <v>45908</v>
      </c>
      <c r="F2131" s="132"/>
      <c r="G2131" s="132" t="s">
        <v>1108</v>
      </c>
      <c r="H2131" s="132" t="s">
        <v>373</v>
      </c>
      <c r="I2131" s="132" t="s">
        <v>1100</v>
      </c>
      <c r="J2131" s="132" t="s">
        <v>5602</v>
      </c>
      <c r="K2131" s="132" t="s">
        <v>5603</v>
      </c>
      <c r="L2131" s="132" t="s">
        <v>5604</v>
      </c>
      <c r="M2131" s="132" t="s">
        <v>5759</v>
      </c>
      <c r="N2131" s="132" t="s">
        <v>1112</v>
      </c>
      <c r="O2131" s="132" t="s">
        <v>5760</v>
      </c>
      <c r="P2131" s="132" t="s">
        <v>5607</v>
      </c>
      <c r="Q2131" s="132" t="s">
        <v>1108</v>
      </c>
    </row>
    <row r="2132" spans="1:17" x14ac:dyDescent="0.2">
      <c r="A2132" t="s">
        <v>293</v>
      </c>
      <c r="B2132" s="141">
        <f t="shared" si="34"/>
        <v>53.65</v>
      </c>
      <c r="C2132" s="280">
        <v>45904</v>
      </c>
      <c r="D2132" s="279">
        <v>45908</v>
      </c>
      <c r="E2132" s="279">
        <v>45908</v>
      </c>
      <c r="F2132" s="132"/>
      <c r="G2132" s="132" t="s">
        <v>5761</v>
      </c>
      <c r="H2132" s="132" t="s">
        <v>373</v>
      </c>
      <c r="I2132" s="132" t="s">
        <v>1100</v>
      </c>
      <c r="J2132" s="132" t="s">
        <v>5602</v>
      </c>
      <c r="K2132" s="132" t="s">
        <v>5608</v>
      </c>
      <c r="L2132" s="132" t="s">
        <v>5609</v>
      </c>
      <c r="M2132" s="132" t="s">
        <v>5762</v>
      </c>
      <c r="N2132" s="132" t="s">
        <v>1105</v>
      </c>
      <c r="O2132" s="132" t="s">
        <v>5763</v>
      </c>
      <c r="P2132" s="132" t="s">
        <v>5607</v>
      </c>
      <c r="Q2132" s="132" t="s">
        <v>1108</v>
      </c>
    </row>
    <row r="2133" spans="1:17" x14ac:dyDescent="0.2">
      <c r="A2133" t="s">
        <v>293</v>
      </c>
      <c r="B2133" s="141">
        <f t="shared" si="34"/>
        <v>53.65</v>
      </c>
      <c r="C2133" s="280">
        <v>45904</v>
      </c>
      <c r="D2133" s="279">
        <v>45908</v>
      </c>
      <c r="E2133" s="279">
        <v>45908</v>
      </c>
      <c r="F2133" s="132"/>
      <c r="G2133" s="132" t="s">
        <v>5509</v>
      </c>
      <c r="H2133" s="132" t="s">
        <v>373</v>
      </c>
      <c r="I2133" s="132" t="s">
        <v>1100</v>
      </c>
      <c r="J2133" s="132" t="s">
        <v>5602</v>
      </c>
      <c r="K2133" s="132" t="s">
        <v>5608</v>
      </c>
      <c r="L2133" s="132" t="s">
        <v>5609</v>
      </c>
      <c r="M2133" s="132" t="s">
        <v>5764</v>
      </c>
      <c r="N2133" s="132" t="s">
        <v>1105</v>
      </c>
      <c r="O2133" s="132" t="s">
        <v>5765</v>
      </c>
      <c r="P2133" s="132" t="s">
        <v>5607</v>
      </c>
      <c r="Q2133" s="132" t="s">
        <v>1108</v>
      </c>
    </row>
    <row r="2134" spans="1:17" x14ac:dyDescent="0.2">
      <c r="A2134" t="s">
        <v>293</v>
      </c>
      <c r="B2134" s="141">
        <f t="shared" si="34"/>
        <v>53.65</v>
      </c>
      <c r="C2134" s="280">
        <v>45904</v>
      </c>
      <c r="D2134" s="279">
        <v>45908</v>
      </c>
      <c r="E2134" s="279">
        <v>45908</v>
      </c>
      <c r="F2134" s="132"/>
      <c r="G2134" s="132" t="s">
        <v>4667</v>
      </c>
      <c r="H2134" s="132" t="s">
        <v>373</v>
      </c>
      <c r="I2134" s="132" t="s">
        <v>1100</v>
      </c>
      <c r="J2134" s="132" t="s">
        <v>5602</v>
      </c>
      <c r="K2134" s="132" t="s">
        <v>5608</v>
      </c>
      <c r="L2134" s="132" t="s">
        <v>5609</v>
      </c>
      <c r="M2134" s="132" t="s">
        <v>5766</v>
      </c>
      <c r="N2134" s="132" t="s">
        <v>1105</v>
      </c>
      <c r="O2134" s="132" t="s">
        <v>5767</v>
      </c>
      <c r="P2134" s="132" t="s">
        <v>5607</v>
      </c>
      <c r="Q2134" s="132" t="s">
        <v>1108</v>
      </c>
    </row>
    <row r="2135" spans="1:17" x14ac:dyDescent="0.2">
      <c r="A2135" t="s">
        <v>293</v>
      </c>
      <c r="B2135" s="141">
        <f t="shared" si="34"/>
        <v>53.65</v>
      </c>
      <c r="C2135" s="280">
        <v>45904</v>
      </c>
      <c r="D2135" s="279">
        <v>45908</v>
      </c>
      <c r="E2135" s="279">
        <v>45908</v>
      </c>
      <c r="F2135" s="132"/>
      <c r="G2135" s="132" t="s">
        <v>5558</v>
      </c>
      <c r="H2135" s="132" t="s">
        <v>373</v>
      </c>
      <c r="I2135" s="132" t="s">
        <v>1100</v>
      </c>
      <c r="J2135" s="132" t="s">
        <v>5602</v>
      </c>
      <c r="K2135" s="132" t="s">
        <v>5608</v>
      </c>
      <c r="L2135" s="132" t="s">
        <v>5609</v>
      </c>
      <c r="M2135" s="132" t="s">
        <v>5768</v>
      </c>
      <c r="N2135" s="132" t="s">
        <v>1105</v>
      </c>
      <c r="O2135" s="132" t="s">
        <v>5769</v>
      </c>
      <c r="P2135" s="132" t="s">
        <v>5607</v>
      </c>
      <c r="Q2135" s="132" t="s">
        <v>1108</v>
      </c>
    </row>
    <row r="2136" spans="1:17" x14ac:dyDescent="0.2">
      <c r="A2136" t="s">
        <v>293</v>
      </c>
      <c r="B2136" s="141">
        <f t="shared" si="34"/>
        <v>53.65</v>
      </c>
      <c r="C2136" s="280">
        <v>45904</v>
      </c>
      <c r="D2136" s="279">
        <v>45908</v>
      </c>
      <c r="E2136" s="279">
        <v>45908</v>
      </c>
      <c r="F2136" s="132"/>
      <c r="G2136" s="132" t="s">
        <v>4765</v>
      </c>
      <c r="H2136" s="132" t="s">
        <v>373</v>
      </c>
      <c r="I2136" s="132" t="s">
        <v>1100</v>
      </c>
      <c r="J2136" s="132" t="s">
        <v>5602</v>
      </c>
      <c r="K2136" s="132" t="s">
        <v>5608</v>
      </c>
      <c r="L2136" s="132" t="s">
        <v>5609</v>
      </c>
      <c r="M2136" s="132" t="s">
        <v>5770</v>
      </c>
      <c r="N2136" s="132" t="s">
        <v>1105</v>
      </c>
      <c r="O2136" s="132" t="s">
        <v>5771</v>
      </c>
      <c r="P2136" s="132" t="s">
        <v>5607</v>
      </c>
      <c r="Q2136" s="132" t="s">
        <v>1108</v>
      </c>
    </row>
    <row r="2137" spans="1:17" x14ac:dyDescent="0.2">
      <c r="A2137" t="s">
        <v>293</v>
      </c>
      <c r="B2137" s="141">
        <f t="shared" si="34"/>
        <v>53.65</v>
      </c>
      <c r="C2137" s="280">
        <v>45904</v>
      </c>
      <c r="D2137" s="279">
        <v>45908</v>
      </c>
      <c r="E2137" s="279">
        <v>45908</v>
      </c>
      <c r="F2137" s="132"/>
      <c r="G2137" s="132" t="s">
        <v>1108</v>
      </c>
      <c r="H2137" s="132" t="s">
        <v>373</v>
      </c>
      <c r="I2137" s="132" t="s">
        <v>1100</v>
      </c>
      <c r="J2137" s="132" t="s">
        <v>5602</v>
      </c>
      <c r="K2137" s="132" t="s">
        <v>5608</v>
      </c>
      <c r="L2137" s="132" t="s">
        <v>5609</v>
      </c>
      <c r="M2137" s="132" t="s">
        <v>5772</v>
      </c>
      <c r="N2137" s="132" t="s">
        <v>1117</v>
      </c>
      <c r="O2137" s="132" t="s">
        <v>5773</v>
      </c>
      <c r="P2137" s="132" t="s">
        <v>5607</v>
      </c>
      <c r="Q2137" s="132" t="s">
        <v>1108</v>
      </c>
    </row>
    <row r="2138" spans="1:17" x14ac:dyDescent="0.2">
      <c r="A2138" t="s">
        <v>293</v>
      </c>
      <c r="B2138" s="141">
        <f t="shared" si="34"/>
        <v>53.65</v>
      </c>
      <c r="C2138" s="280">
        <v>45904</v>
      </c>
      <c r="D2138" s="279">
        <v>45908</v>
      </c>
      <c r="E2138" s="279">
        <v>45908</v>
      </c>
      <c r="F2138" s="132"/>
      <c r="G2138" s="132" t="s">
        <v>1108</v>
      </c>
      <c r="H2138" s="132" t="s">
        <v>373</v>
      </c>
      <c r="I2138" s="132" t="s">
        <v>1100</v>
      </c>
      <c r="J2138" s="132" t="s">
        <v>5602</v>
      </c>
      <c r="K2138" s="132" t="s">
        <v>5608</v>
      </c>
      <c r="L2138" s="132" t="s">
        <v>5609</v>
      </c>
      <c r="M2138" s="132" t="s">
        <v>5774</v>
      </c>
      <c r="N2138" s="132" t="s">
        <v>1117</v>
      </c>
      <c r="O2138" s="132" t="s">
        <v>5775</v>
      </c>
      <c r="P2138" s="132" t="s">
        <v>5607</v>
      </c>
      <c r="Q2138" s="132" t="s">
        <v>1108</v>
      </c>
    </row>
    <row r="2139" spans="1:17" x14ac:dyDescent="0.2">
      <c r="A2139" t="s">
        <v>293</v>
      </c>
      <c r="B2139" s="141">
        <f t="shared" si="34"/>
        <v>53.65</v>
      </c>
      <c r="C2139" s="280">
        <v>45904</v>
      </c>
      <c r="D2139" s="279">
        <v>45908</v>
      </c>
      <c r="E2139" s="279">
        <v>45908</v>
      </c>
      <c r="F2139" s="132"/>
      <c r="G2139" s="132" t="s">
        <v>1108</v>
      </c>
      <c r="H2139" s="132" t="s">
        <v>373</v>
      </c>
      <c r="I2139" s="132" t="s">
        <v>1100</v>
      </c>
      <c r="J2139" s="132" t="s">
        <v>5602</v>
      </c>
      <c r="K2139" s="132" t="s">
        <v>5608</v>
      </c>
      <c r="L2139" s="132" t="s">
        <v>5609</v>
      </c>
      <c r="M2139" s="132" t="s">
        <v>5776</v>
      </c>
      <c r="N2139" s="132" t="s">
        <v>1117</v>
      </c>
      <c r="O2139" s="132" t="s">
        <v>5777</v>
      </c>
      <c r="P2139" s="132" t="s">
        <v>5607</v>
      </c>
      <c r="Q2139" s="132" t="s">
        <v>1108</v>
      </c>
    </row>
    <row r="2140" spans="1:17" x14ac:dyDescent="0.2">
      <c r="A2140" t="s">
        <v>293</v>
      </c>
      <c r="B2140" s="141">
        <f t="shared" si="34"/>
        <v>53.32</v>
      </c>
      <c r="C2140" s="280">
        <v>45904</v>
      </c>
      <c r="D2140" s="279">
        <v>45908</v>
      </c>
      <c r="E2140" s="279">
        <v>45908</v>
      </c>
      <c r="F2140" s="132"/>
      <c r="G2140" s="132" t="s">
        <v>1108</v>
      </c>
      <c r="H2140" s="132" t="s">
        <v>373</v>
      </c>
      <c r="I2140" s="132" t="s">
        <v>1100</v>
      </c>
      <c r="J2140" s="132" t="s">
        <v>5602</v>
      </c>
      <c r="K2140" s="132" t="s">
        <v>5603</v>
      </c>
      <c r="L2140" s="132" t="s">
        <v>5604</v>
      </c>
      <c r="M2140" s="132" t="s">
        <v>5778</v>
      </c>
      <c r="N2140" s="132" t="s">
        <v>1112</v>
      </c>
      <c r="O2140" s="132" t="s">
        <v>5779</v>
      </c>
      <c r="P2140" s="132" t="s">
        <v>5607</v>
      </c>
      <c r="Q2140" s="132" t="s">
        <v>1108</v>
      </c>
    </row>
    <row r="2141" spans="1:17" x14ac:dyDescent="0.2">
      <c r="A2141" t="s">
        <v>293</v>
      </c>
      <c r="B2141" s="141">
        <f t="shared" si="34"/>
        <v>53.32</v>
      </c>
      <c r="C2141" s="280">
        <v>45904</v>
      </c>
      <c r="D2141" s="279">
        <v>45908</v>
      </c>
      <c r="E2141" s="279">
        <v>45908</v>
      </c>
      <c r="F2141" s="132"/>
      <c r="G2141" s="132" t="s">
        <v>1108</v>
      </c>
      <c r="H2141" s="132" t="s">
        <v>373</v>
      </c>
      <c r="I2141" s="132" t="s">
        <v>1100</v>
      </c>
      <c r="J2141" s="132" t="s">
        <v>5602</v>
      </c>
      <c r="K2141" s="132" t="s">
        <v>5603</v>
      </c>
      <c r="L2141" s="132" t="s">
        <v>5604</v>
      </c>
      <c r="M2141" s="132" t="s">
        <v>5780</v>
      </c>
      <c r="N2141" s="132" t="s">
        <v>1112</v>
      </c>
      <c r="O2141" s="132" t="s">
        <v>5781</v>
      </c>
      <c r="P2141" s="132" t="s">
        <v>5607</v>
      </c>
      <c r="Q2141" s="132" t="s">
        <v>1108</v>
      </c>
    </row>
    <row r="2142" spans="1:17" x14ac:dyDescent="0.2">
      <c r="A2142" t="s">
        <v>293</v>
      </c>
      <c r="B2142" s="141">
        <f t="shared" si="34"/>
        <v>53.65</v>
      </c>
      <c r="C2142" s="280">
        <v>45904</v>
      </c>
      <c r="D2142" s="279">
        <v>45908</v>
      </c>
      <c r="E2142" s="279">
        <v>45908</v>
      </c>
      <c r="F2142" s="132"/>
      <c r="G2142" s="132" t="s">
        <v>1108</v>
      </c>
      <c r="H2142" s="132" t="s">
        <v>373</v>
      </c>
      <c r="I2142" s="132" t="s">
        <v>1100</v>
      </c>
      <c r="J2142" s="132" t="s">
        <v>5602</v>
      </c>
      <c r="K2142" s="132" t="s">
        <v>5608</v>
      </c>
      <c r="L2142" s="132" t="s">
        <v>5609</v>
      </c>
      <c r="M2142" s="132" t="s">
        <v>5782</v>
      </c>
      <c r="N2142" s="132" t="s">
        <v>1117</v>
      </c>
      <c r="O2142" s="132" t="s">
        <v>5783</v>
      </c>
      <c r="P2142" s="132" t="s">
        <v>5607</v>
      </c>
      <c r="Q2142" s="132" t="s">
        <v>1108</v>
      </c>
    </row>
    <row r="2143" spans="1:17" x14ac:dyDescent="0.2">
      <c r="A2143" t="s">
        <v>293</v>
      </c>
      <c r="B2143" s="141">
        <f t="shared" si="34"/>
        <v>53.32</v>
      </c>
      <c r="C2143" s="280">
        <v>45904</v>
      </c>
      <c r="D2143" s="279">
        <v>45908</v>
      </c>
      <c r="E2143" s="279">
        <v>45908</v>
      </c>
      <c r="F2143" s="132"/>
      <c r="G2143" s="132" t="s">
        <v>1108</v>
      </c>
      <c r="H2143" s="132" t="s">
        <v>373</v>
      </c>
      <c r="I2143" s="132" t="s">
        <v>1100</v>
      </c>
      <c r="J2143" s="132" t="s">
        <v>5602</v>
      </c>
      <c r="K2143" s="132" t="s">
        <v>5603</v>
      </c>
      <c r="L2143" s="132" t="s">
        <v>5604</v>
      </c>
      <c r="M2143" s="132" t="s">
        <v>5784</v>
      </c>
      <c r="N2143" s="132" t="s">
        <v>1112</v>
      </c>
      <c r="O2143" s="132" t="s">
        <v>5785</v>
      </c>
      <c r="P2143" s="132" t="s">
        <v>5607</v>
      </c>
      <c r="Q2143" s="132" t="s">
        <v>1108</v>
      </c>
    </row>
    <row r="2144" spans="1:17" x14ac:dyDescent="0.2">
      <c r="A2144" t="s">
        <v>293</v>
      </c>
      <c r="B2144" s="141">
        <f t="shared" si="34"/>
        <v>53.65</v>
      </c>
      <c r="C2144" s="280">
        <v>45904</v>
      </c>
      <c r="D2144" s="279">
        <v>45908</v>
      </c>
      <c r="E2144" s="279">
        <v>45908</v>
      </c>
      <c r="F2144" s="132"/>
      <c r="G2144" s="132" t="s">
        <v>1108</v>
      </c>
      <c r="H2144" s="132" t="s">
        <v>373</v>
      </c>
      <c r="I2144" s="132" t="s">
        <v>1100</v>
      </c>
      <c r="J2144" s="132" t="s">
        <v>5602</v>
      </c>
      <c r="K2144" s="132" t="s">
        <v>5608</v>
      </c>
      <c r="L2144" s="132" t="s">
        <v>5609</v>
      </c>
      <c r="M2144" s="132" t="s">
        <v>5786</v>
      </c>
      <c r="N2144" s="132" t="s">
        <v>1117</v>
      </c>
      <c r="O2144" s="132" t="s">
        <v>5787</v>
      </c>
      <c r="P2144" s="132" t="s">
        <v>5607</v>
      </c>
      <c r="Q2144" s="132" t="s">
        <v>1108</v>
      </c>
    </row>
    <row r="2145" spans="1:17" x14ac:dyDescent="0.2">
      <c r="A2145" t="s">
        <v>293</v>
      </c>
      <c r="B2145" s="141">
        <f t="shared" si="34"/>
        <v>53.65</v>
      </c>
      <c r="C2145" s="280">
        <v>45904</v>
      </c>
      <c r="D2145" s="279">
        <v>45908</v>
      </c>
      <c r="E2145" s="279">
        <v>45908</v>
      </c>
      <c r="F2145" s="132"/>
      <c r="G2145" s="132" t="s">
        <v>5788</v>
      </c>
      <c r="H2145" s="132" t="s">
        <v>373</v>
      </c>
      <c r="I2145" s="132" t="s">
        <v>1100</v>
      </c>
      <c r="J2145" s="132" t="s">
        <v>5602</v>
      </c>
      <c r="K2145" s="132" t="s">
        <v>5608</v>
      </c>
      <c r="L2145" s="132" t="s">
        <v>5609</v>
      </c>
      <c r="M2145" s="132" t="s">
        <v>5789</v>
      </c>
      <c r="N2145" s="132" t="s">
        <v>1105</v>
      </c>
      <c r="O2145" s="132" t="s">
        <v>5790</v>
      </c>
      <c r="P2145" s="132" t="s">
        <v>5607</v>
      </c>
      <c r="Q2145" s="132" t="s">
        <v>1108</v>
      </c>
    </row>
    <row r="2146" spans="1:17" x14ac:dyDescent="0.2">
      <c r="A2146" t="s">
        <v>293</v>
      </c>
      <c r="B2146" s="141">
        <f t="shared" si="34"/>
        <v>53.65</v>
      </c>
      <c r="C2146" s="280">
        <v>45904</v>
      </c>
      <c r="D2146" s="279">
        <v>45908</v>
      </c>
      <c r="E2146" s="279">
        <v>45908</v>
      </c>
      <c r="F2146" s="132"/>
      <c r="G2146" s="132" t="s">
        <v>5023</v>
      </c>
      <c r="H2146" s="132" t="s">
        <v>373</v>
      </c>
      <c r="I2146" s="132" t="s">
        <v>1100</v>
      </c>
      <c r="J2146" s="132" t="s">
        <v>5602</v>
      </c>
      <c r="K2146" s="132" t="s">
        <v>5608</v>
      </c>
      <c r="L2146" s="132" t="s">
        <v>5609</v>
      </c>
      <c r="M2146" s="132" t="s">
        <v>5791</v>
      </c>
      <c r="N2146" s="132" t="s">
        <v>1105</v>
      </c>
      <c r="O2146" s="132" t="s">
        <v>5792</v>
      </c>
      <c r="P2146" s="132" t="s">
        <v>5607</v>
      </c>
      <c r="Q2146" s="132" t="s">
        <v>1108</v>
      </c>
    </row>
    <row r="2147" spans="1:17" x14ac:dyDescent="0.2">
      <c r="A2147" t="s">
        <v>293</v>
      </c>
      <c r="B2147" s="141">
        <f t="shared" si="34"/>
        <v>53.65</v>
      </c>
      <c r="C2147" s="280">
        <v>45904</v>
      </c>
      <c r="D2147" s="279">
        <v>45908</v>
      </c>
      <c r="E2147" s="279">
        <v>45908</v>
      </c>
      <c r="F2147" s="132"/>
      <c r="G2147" s="132" t="s">
        <v>5793</v>
      </c>
      <c r="H2147" s="132" t="s">
        <v>373</v>
      </c>
      <c r="I2147" s="132" t="s">
        <v>1100</v>
      </c>
      <c r="J2147" s="132" t="s">
        <v>5602</v>
      </c>
      <c r="K2147" s="132" t="s">
        <v>5608</v>
      </c>
      <c r="L2147" s="132" t="s">
        <v>5609</v>
      </c>
      <c r="M2147" s="132" t="s">
        <v>5794</v>
      </c>
      <c r="N2147" s="132" t="s">
        <v>1105</v>
      </c>
      <c r="O2147" s="132" t="s">
        <v>5795</v>
      </c>
      <c r="P2147" s="132" t="s">
        <v>5607</v>
      </c>
      <c r="Q2147" s="132" t="s">
        <v>1108</v>
      </c>
    </row>
    <row r="2148" spans="1:17" x14ac:dyDescent="0.2">
      <c r="A2148" t="s">
        <v>293</v>
      </c>
      <c r="B2148" s="141">
        <f t="shared" si="34"/>
        <v>53.65</v>
      </c>
      <c r="C2148" s="280">
        <v>45904</v>
      </c>
      <c r="D2148" s="279">
        <v>45908</v>
      </c>
      <c r="E2148" s="279">
        <v>45908</v>
      </c>
      <c r="F2148" s="132"/>
      <c r="G2148" s="132" t="s">
        <v>5796</v>
      </c>
      <c r="H2148" s="132" t="s">
        <v>373</v>
      </c>
      <c r="I2148" s="132" t="s">
        <v>1100</v>
      </c>
      <c r="J2148" s="132" t="s">
        <v>5602</v>
      </c>
      <c r="K2148" s="132" t="s">
        <v>5608</v>
      </c>
      <c r="L2148" s="132" t="s">
        <v>5609</v>
      </c>
      <c r="M2148" s="132" t="s">
        <v>5797</v>
      </c>
      <c r="N2148" s="132" t="s">
        <v>1105</v>
      </c>
      <c r="O2148" s="132" t="s">
        <v>5798</v>
      </c>
      <c r="P2148" s="132" t="s">
        <v>5607</v>
      </c>
      <c r="Q2148" s="132" t="s">
        <v>1108</v>
      </c>
    </row>
    <row r="2149" spans="1:17" x14ac:dyDescent="0.2">
      <c r="A2149" t="s">
        <v>293</v>
      </c>
      <c r="B2149" s="141">
        <f t="shared" si="34"/>
        <v>53.32</v>
      </c>
      <c r="C2149" s="280">
        <v>45904</v>
      </c>
      <c r="D2149" s="279">
        <v>45908</v>
      </c>
      <c r="E2149" s="279">
        <v>45908</v>
      </c>
      <c r="F2149" s="132"/>
      <c r="G2149" s="132" t="s">
        <v>1108</v>
      </c>
      <c r="H2149" s="132" t="s">
        <v>373</v>
      </c>
      <c r="I2149" s="132" t="s">
        <v>1100</v>
      </c>
      <c r="J2149" s="132" t="s">
        <v>5602</v>
      </c>
      <c r="K2149" s="132" t="s">
        <v>5603</v>
      </c>
      <c r="L2149" s="132" t="s">
        <v>5604</v>
      </c>
      <c r="M2149" s="132" t="s">
        <v>5799</v>
      </c>
      <c r="N2149" s="132" t="s">
        <v>1112</v>
      </c>
      <c r="O2149" s="132" t="s">
        <v>5800</v>
      </c>
      <c r="P2149" s="132" t="s">
        <v>5607</v>
      </c>
      <c r="Q2149" s="132" t="s">
        <v>1108</v>
      </c>
    </row>
    <row r="2150" spans="1:17" x14ac:dyDescent="0.2">
      <c r="A2150" t="s">
        <v>293</v>
      </c>
      <c r="B2150" s="141">
        <f t="shared" si="34"/>
        <v>53.65</v>
      </c>
      <c r="C2150" s="280">
        <v>45904</v>
      </c>
      <c r="D2150" s="279">
        <v>45908</v>
      </c>
      <c r="E2150" s="279">
        <v>45908</v>
      </c>
      <c r="F2150" s="132"/>
      <c r="G2150" s="132" t="s">
        <v>1108</v>
      </c>
      <c r="H2150" s="132" t="s">
        <v>373</v>
      </c>
      <c r="I2150" s="132" t="s">
        <v>1100</v>
      </c>
      <c r="J2150" s="132" t="s">
        <v>5602</v>
      </c>
      <c r="K2150" s="132" t="s">
        <v>5608</v>
      </c>
      <c r="L2150" s="132" t="s">
        <v>5609</v>
      </c>
      <c r="M2150" s="132" t="s">
        <v>5801</v>
      </c>
      <c r="N2150" s="132" t="s">
        <v>1117</v>
      </c>
      <c r="O2150" s="132" t="s">
        <v>5802</v>
      </c>
      <c r="P2150" s="132" t="s">
        <v>5607</v>
      </c>
      <c r="Q2150" s="132" t="s">
        <v>1108</v>
      </c>
    </row>
    <row r="2151" spans="1:17" x14ac:dyDescent="0.2">
      <c r="A2151" t="s">
        <v>293</v>
      </c>
      <c r="B2151" s="141">
        <f t="shared" si="34"/>
        <v>53.65</v>
      </c>
      <c r="C2151" s="280">
        <v>45904</v>
      </c>
      <c r="D2151" s="279">
        <v>45908</v>
      </c>
      <c r="E2151" s="279">
        <v>45908</v>
      </c>
      <c r="F2151" s="132"/>
      <c r="G2151" s="132" t="s">
        <v>5543</v>
      </c>
      <c r="H2151" s="132" t="s">
        <v>373</v>
      </c>
      <c r="I2151" s="132" t="s">
        <v>1100</v>
      </c>
      <c r="J2151" s="132" t="s">
        <v>5602</v>
      </c>
      <c r="K2151" s="132" t="s">
        <v>5608</v>
      </c>
      <c r="L2151" s="132" t="s">
        <v>5609</v>
      </c>
      <c r="M2151" s="132" t="s">
        <v>5803</v>
      </c>
      <c r="N2151" s="132" t="s">
        <v>1105</v>
      </c>
      <c r="O2151" s="132" t="s">
        <v>5804</v>
      </c>
      <c r="P2151" s="132" t="s">
        <v>5607</v>
      </c>
      <c r="Q2151" s="132" t="s">
        <v>1108</v>
      </c>
    </row>
    <row r="2152" spans="1:17" x14ac:dyDescent="0.2">
      <c r="A2152" t="s">
        <v>293</v>
      </c>
      <c r="B2152" s="141">
        <f t="shared" si="34"/>
        <v>53.32</v>
      </c>
      <c r="C2152" s="280">
        <v>45904</v>
      </c>
      <c r="D2152" s="279">
        <v>45908</v>
      </c>
      <c r="E2152" s="279">
        <v>45908</v>
      </c>
      <c r="F2152" s="132"/>
      <c r="G2152" s="132" t="s">
        <v>1108</v>
      </c>
      <c r="H2152" s="132" t="s">
        <v>373</v>
      </c>
      <c r="I2152" s="132" t="s">
        <v>1100</v>
      </c>
      <c r="J2152" s="132" t="s">
        <v>5602</v>
      </c>
      <c r="K2152" s="132" t="s">
        <v>5603</v>
      </c>
      <c r="L2152" s="132" t="s">
        <v>5604</v>
      </c>
      <c r="M2152" s="132" t="s">
        <v>5805</v>
      </c>
      <c r="N2152" s="132" t="s">
        <v>1112</v>
      </c>
      <c r="O2152" s="132" t="s">
        <v>5806</v>
      </c>
      <c r="P2152" s="132" t="s">
        <v>5607</v>
      </c>
      <c r="Q2152" s="132" t="s">
        <v>1108</v>
      </c>
    </row>
    <row r="2153" spans="1:17" x14ac:dyDescent="0.2">
      <c r="A2153" t="s">
        <v>293</v>
      </c>
      <c r="B2153" s="141">
        <f t="shared" si="34"/>
        <v>53.65</v>
      </c>
      <c r="C2153" s="280">
        <v>45904</v>
      </c>
      <c r="D2153" s="279">
        <v>45908</v>
      </c>
      <c r="E2153" s="279">
        <v>45908</v>
      </c>
      <c r="F2153" s="132"/>
      <c r="G2153" s="132" t="s">
        <v>1108</v>
      </c>
      <c r="H2153" s="132" t="s">
        <v>373</v>
      </c>
      <c r="I2153" s="132" t="s">
        <v>1100</v>
      </c>
      <c r="J2153" s="132" t="s">
        <v>5602</v>
      </c>
      <c r="K2153" s="132" t="s">
        <v>5608</v>
      </c>
      <c r="L2153" s="132" t="s">
        <v>5609</v>
      </c>
      <c r="M2153" s="132" t="s">
        <v>5807</v>
      </c>
      <c r="N2153" s="132" t="s">
        <v>1117</v>
      </c>
      <c r="O2153" s="132" t="s">
        <v>5808</v>
      </c>
      <c r="P2153" s="132" t="s">
        <v>5607</v>
      </c>
      <c r="Q2153" s="132" t="s">
        <v>1108</v>
      </c>
    </row>
    <row r="2154" spans="1:17" x14ac:dyDescent="0.2">
      <c r="A2154" t="s">
        <v>293</v>
      </c>
      <c r="B2154" s="141">
        <f t="shared" si="34"/>
        <v>53.65</v>
      </c>
      <c r="C2154" s="280">
        <v>45904</v>
      </c>
      <c r="D2154" s="279">
        <v>45908</v>
      </c>
      <c r="E2154" s="279">
        <v>45908</v>
      </c>
      <c r="F2154" s="132"/>
      <c r="G2154" s="132" t="s">
        <v>1108</v>
      </c>
      <c r="H2154" s="132" t="s">
        <v>373</v>
      </c>
      <c r="I2154" s="132" t="s">
        <v>1100</v>
      </c>
      <c r="J2154" s="132" t="s">
        <v>5602</v>
      </c>
      <c r="K2154" s="132" t="s">
        <v>5608</v>
      </c>
      <c r="L2154" s="132" t="s">
        <v>5609</v>
      </c>
      <c r="M2154" s="132" t="s">
        <v>5809</v>
      </c>
      <c r="N2154" s="132" t="s">
        <v>1117</v>
      </c>
      <c r="O2154" s="132" t="s">
        <v>5810</v>
      </c>
      <c r="P2154" s="132" t="s">
        <v>5607</v>
      </c>
      <c r="Q2154" s="132" t="s">
        <v>1108</v>
      </c>
    </row>
    <row r="2155" spans="1:17" x14ac:dyDescent="0.2">
      <c r="A2155" t="s">
        <v>293</v>
      </c>
      <c r="B2155" s="141">
        <f t="shared" si="34"/>
        <v>53.65</v>
      </c>
      <c r="C2155" s="280">
        <v>45904</v>
      </c>
      <c r="D2155" s="279">
        <v>45908</v>
      </c>
      <c r="E2155" s="279">
        <v>45908</v>
      </c>
      <c r="F2155" s="132"/>
      <c r="G2155" s="132" t="s">
        <v>1108</v>
      </c>
      <c r="H2155" s="132" t="s">
        <v>373</v>
      </c>
      <c r="I2155" s="132" t="s">
        <v>1100</v>
      </c>
      <c r="J2155" s="132" t="s">
        <v>5602</v>
      </c>
      <c r="K2155" s="132" t="s">
        <v>5608</v>
      </c>
      <c r="L2155" s="132" t="s">
        <v>5609</v>
      </c>
      <c r="M2155" s="132" t="s">
        <v>5811</v>
      </c>
      <c r="N2155" s="132" t="s">
        <v>1117</v>
      </c>
      <c r="O2155" s="132" t="s">
        <v>5812</v>
      </c>
      <c r="P2155" s="132" t="s">
        <v>5607</v>
      </c>
      <c r="Q2155" s="132" t="s">
        <v>1108</v>
      </c>
    </row>
    <row r="2156" spans="1:17" x14ac:dyDescent="0.2">
      <c r="A2156" t="s">
        <v>293</v>
      </c>
      <c r="B2156" s="141">
        <f t="shared" si="34"/>
        <v>53.65</v>
      </c>
      <c r="C2156" s="280">
        <v>45904</v>
      </c>
      <c r="D2156" s="279">
        <v>45908</v>
      </c>
      <c r="E2156" s="279">
        <v>45908</v>
      </c>
      <c r="F2156" s="132"/>
      <c r="G2156" s="132" t="s">
        <v>1108</v>
      </c>
      <c r="H2156" s="132" t="s">
        <v>373</v>
      </c>
      <c r="I2156" s="132" t="s">
        <v>1100</v>
      </c>
      <c r="J2156" s="132" t="s">
        <v>5602</v>
      </c>
      <c r="K2156" s="132" t="s">
        <v>5608</v>
      </c>
      <c r="L2156" s="132" t="s">
        <v>5609</v>
      </c>
      <c r="M2156" s="132" t="s">
        <v>5813</v>
      </c>
      <c r="N2156" s="132" t="s">
        <v>1117</v>
      </c>
      <c r="O2156" s="132" t="s">
        <v>5814</v>
      </c>
      <c r="P2156" s="132" t="s">
        <v>5607</v>
      </c>
      <c r="Q2156" s="132" t="s">
        <v>1108</v>
      </c>
    </row>
    <row r="2157" spans="1:17" x14ac:dyDescent="0.2">
      <c r="A2157" t="s">
        <v>293</v>
      </c>
      <c r="B2157" s="141">
        <f t="shared" si="34"/>
        <v>53.65</v>
      </c>
      <c r="C2157" s="280">
        <v>45904</v>
      </c>
      <c r="D2157" s="279">
        <v>45908</v>
      </c>
      <c r="E2157" s="279">
        <v>45908</v>
      </c>
      <c r="F2157" s="132"/>
      <c r="G2157" s="132" t="s">
        <v>1108</v>
      </c>
      <c r="H2157" s="132" t="s">
        <v>373</v>
      </c>
      <c r="I2157" s="132" t="s">
        <v>1100</v>
      </c>
      <c r="J2157" s="132" t="s">
        <v>5602</v>
      </c>
      <c r="K2157" s="132" t="s">
        <v>5608</v>
      </c>
      <c r="L2157" s="132" t="s">
        <v>5609</v>
      </c>
      <c r="M2157" s="132" t="s">
        <v>5815</v>
      </c>
      <c r="N2157" s="132" t="s">
        <v>1117</v>
      </c>
      <c r="O2157" s="132" t="s">
        <v>5816</v>
      </c>
      <c r="P2157" s="132" t="s">
        <v>5607</v>
      </c>
      <c r="Q2157" s="132" t="s">
        <v>1108</v>
      </c>
    </row>
    <row r="2158" spans="1:17" x14ac:dyDescent="0.2">
      <c r="A2158" t="s">
        <v>293</v>
      </c>
      <c r="B2158" s="141">
        <f t="shared" ref="B2158:B2221" si="35">_xlfn.NUMBERVALUE(L2158)*0.01</f>
        <v>53.65</v>
      </c>
      <c r="C2158" s="280">
        <v>45904</v>
      </c>
      <c r="D2158" s="279">
        <v>45908</v>
      </c>
      <c r="E2158" s="279">
        <v>45908</v>
      </c>
      <c r="F2158" s="132"/>
      <c r="G2158" s="132" t="s">
        <v>1108</v>
      </c>
      <c r="H2158" s="132" t="s">
        <v>373</v>
      </c>
      <c r="I2158" s="132" t="s">
        <v>1100</v>
      </c>
      <c r="J2158" s="132" t="s">
        <v>5602</v>
      </c>
      <c r="K2158" s="132" t="s">
        <v>5608</v>
      </c>
      <c r="L2158" s="132" t="s">
        <v>5609</v>
      </c>
      <c r="M2158" s="132" t="s">
        <v>5817</v>
      </c>
      <c r="N2158" s="132" t="s">
        <v>1117</v>
      </c>
      <c r="O2158" s="132" t="s">
        <v>5818</v>
      </c>
      <c r="P2158" s="132" t="s">
        <v>5607</v>
      </c>
      <c r="Q2158" s="132" t="s">
        <v>1108</v>
      </c>
    </row>
    <row r="2159" spans="1:17" x14ac:dyDescent="0.2">
      <c r="A2159" t="s">
        <v>293</v>
      </c>
      <c r="B2159" s="141">
        <f t="shared" si="35"/>
        <v>53.65</v>
      </c>
      <c r="C2159" s="280">
        <v>45904</v>
      </c>
      <c r="D2159" s="279">
        <v>45908</v>
      </c>
      <c r="E2159" s="279">
        <v>45908</v>
      </c>
      <c r="F2159" s="132"/>
      <c r="G2159" s="132" t="s">
        <v>4794</v>
      </c>
      <c r="H2159" s="132" t="s">
        <v>373</v>
      </c>
      <c r="I2159" s="132" t="s">
        <v>1100</v>
      </c>
      <c r="J2159" s="132" t="s">
        <v>5602</v>
      </c>
      <c r="K2159" s="132" t="s">
        <v>5608</v>
      </c>
      <c r="L2159" s="132" t="s">
        <v>5609</v>
      </c>
      <c r="M2159" s="132" t="s">
        <v>5819</v>
      </c>
      <c r="N2159" s="132" t="s">
        <v>1105</v>
      </c>
      <c r="O2159" s="132" t="s">
        <v>5820</v>
      </c>
      <c r="P2159" s="132" t="s">
        <v>5607</v>
      </c>
      <c r="Q2159" s="132" t="s">
        <v>1108</v>
      </c>
    </row>
    <row r="2160" spans="1:17" x14ac:dyDescent="0.2">
      <c r="A2160" t="s">
        <v>293</v>
      </c>
      <c r="B2160" s="141">
        <f t="shared" si="35"/>
        <v>53.65</v>
      </c>
      <c r="C2160" s="280">
        <v>45904</v>
      </c>
      <c r="D2160" s="279">
        <v>45908</v>
      </c>
      <c r="E2160" s="279">
        <v>45908</v>
      </c>
      <c r="F2160" s="132"/>
      <c r="G2160" s="132" t="s">
        <v>1108</v>
      </c>
      <c r="H2160" s="132" t="s">
        <v>373</v>
      </c>
      <c r="I2160" s="132" t="s">
        <v>1100</v>
      </c>
      <c r="J2160" s="132" t="s">
        <v>5602</v>
      </c>
      <c r="K2160" s="132" t="s">
        <v>5608</v>
      </c>
      <c r="L2160" s="132" t="s">
        <v>5609</v>
      </c>
      <c r="M2160" s="132" t="s">
        <v>5821</v>
      </c>
      <c r="N2160" s="132" t="s">
        <v>1117</v>
      </c>
      <c r="O2160" s="132" t="s">
        <v>5822</v>
      </c>
      <c r="P2160" s="132" t="s">
        <v>5607</v>
      </c>
      <c r="Q2160" s="132" t="s">
        <v>1108</v>
      </c>
    </row>
    <row r="2161" spans="1:17" x14ac:dyDescent="0.2">
      <c r="A2161" t="s">
        <v>293</v>
      </c>
      <c r="B2161" s="141">
        <f t="shared" si="35"/>
        <v>53.65</v>
      </c>
      <c r="C2161" s="280">
        <v>45904</v>
      </c>
      <c r="D2161" s="279">
        <v>45908</v>
      </c>
      <c r="E2161" s="279">
        <v>45908</v>
      </c>
      <c r="F2161" s="132"/>
      <c r="G2161" s="132" t="s">
        <v>5514</v>
      </c>
      <c r="H2161" s="132" t="s">
        <v>373</v>
      </c>
      <c r="I2161" s="132" t="s">
        <v>1100</v>
      </c>
      <c r="J2161" s="132" t="s">
        <v>5602</v>
      </c>
      <c r="K2161" s="132" t="s">
        <v>5608</v>
      </c>
      <c r="L2161" s="132" t="s">
        <v>5609</v>
      </c>
      <c r="M2161" s="132" t="s">
        <v>5823</v>
      </c>
      <c r="N2161" s="132" t="s">
        <v>1105</v>
      </c>
      <c r="O2161" s="132" t="s">
        <v>5824</v>
      </c>
      <c r="P2161" s="132" t="s">
        <v>5607</v>
      </c>
      <c r="Q2161" s="132" t="s">
        <v>1108</v>
      </c>
    </row>
    <row r="2162" spans="1:17" x14ac:dyDescent="0.2">
      <c r="A2162" t="s">
        <v>293</v>
      </c>
      <c r="B2162" s="141">
        <f t="shared" si="35"/>
        <v>53.32</v>
      </c>
      <c r="C2162" s="280">
        <v>45904</v>
      </c>
      <c r="D2162" s="279">
        <v>45908</v>
      </c>
      <c r="E2162" s="279">
        <v>45908</v>
      </c>
      <c r="F2162" s="132"/>
      <c r="G2162" s="132" t="s">
        <v>1108</v>
      </c>
      <c r="H2162" s="132" t="s">
        <v>373</v>
      </c>
      <c r="I2162" s="132" t="s">
        <v>1100</v>
      </c>
      <c r="J2162" s="132" t="s">
        <v>5602</v>
      </c>
      <c r="K2162" s="132" t="s">
        <v>5603</v>
      </c>
      <c r="L2162" s="132" t="s">
        <v>5604</v>
      </c>
      <c r="M2162" s="132" t="s">
        <v>5825</v>
      </c>
      <c r="N2162" s="132" t="s">
        <v>1112</v>
      </c>
      <c r="O2162" s="132" t="s">
        <v>5826</v>
      </c>
      <c r="P2162" s="132" t="s">
        <v>5607</v>
      </c>
      <c r="Q2162" s="132" t="s">
        <v>1108</v>
      </c>
    </row>
    <row r="2163" spans="1:17" x14ac:dyDescent="0.2">
      <c r="A2163" t="s">
        <v>293</v>
      </c>
      <c r="B2163" s="141">
        <f t="shared" si="35"/>
        <v>53.32</v>
      </c>
      <c r="C2163" s="280">
        <v>45904</v>
      </c>
      <c r="D2163" s="279">
        <v>45908</v>
      </c>
      <c r="E2163" s="279">
        <v>45908</v>
      </c>
      <c r="F2163" s="132"/>
      <c r="G2163" s="132" t="s">
        <v>1108</v>
      </c>
      <c r="H2163" s="132" t="s">
        <v>373</v>
      </c>
      <c r="I2163" s="132" t="s">
        <v>1100</v>
      </c>
      <c r="J2163" s="132" t="s">
        <v>5602</v>
      </c>
      <c r="K2163" s="132" t="s">
        <v>5603</v>
      </c>
      <c r="L2163" s="132" t="s">
        <v>5604</v>
      </c>
      <c r="M2163" s="132" t="s">
        <v>5827</v>
      </c>
      <c r="N2163" s="132" t="s">
        <v>1112</v>
      </c>
      <c r="O2163" s="132" t="s">
        <v>5828</v>
      </c>
      <c r="P2163" s="132" t="s">
        <v>5607</v>
      </c>
      <c r="Q2163" s="132" t="s">
        <v>1108</v>
      </c>
    </row>
    <row r="2164" spans="1:17" x14ac:dyDescent="0.2">
      <c r="A2164" t="s">
        <v>293</v>
      </c>
      <c r="B2164" s="141">
        <f t="shared" si="35"/>
        <v>53.65</v>
      </c>
      <c r="C2164" s="280">
        <v>45904</v>
      </c>
      <c r="D2164" s="279">
        <v>45908</v>
      </c>
      <c r="E2164" s="279">
        <v>45908</v>
      </c>
      <c r="F2164" s="132"/>
      <c r="G2164" s="132" t="s">
        <v>1108</v>
      </c>
      <c r="H2164" s="132" t="s">
        <v>373</v>
      </c>
      <c r="I2164" s="132" t="s">
        <v>1100</v>
      </c>
      <c r="J2164" s="132" t="s">
        <v>5602</v>
      </c>
      <c r="K2164" s="132" t="s">
        <v>5608</v>
      </c>
      <c r="L2164" s="132" t="s">
        <v>5609</v>
      </c>
      <c r="M2164" s="132" t="s">
        <v>5829</v>
      </c>
      <c r="N2164" s="132" t="s">
        <v>1117</v>
      </c>
      <c r="O2164" s="132" t="s">
        <v>5830</v>
      </c>
      <c r="P2164" s="132" t="s">
        <v>5607</v>
      </c>
      <c r="Q2164" s="132" t="s">
        <v>1108</v>
      </c>
    </row>
    <row r="2165" spans="1:17" x14ac:dyDescent="0.2">
      <c r="A2165" t="s">
        <v>293</v>
      </c>
      <c r="B2165" s="141">
        <f t="shared" si="35"/>
        <v>53.65</v>
      </c>
      <c r="C2165" s="280">
        <v>45904</v>
      </c>
      <c r="D2165" s="279">
        <v>45908</v>
      </c>
      <c r="E2165" s="279">
        <v>45908</v>
      </c>
      <c r="F2165" s="132"/>
      <c r="G2165" s="132" t="s">
        <v>4855</v>
      </c>
      <c r="H2165" s="132" t="s">
        <v>373</v>
      </c>
      <c r="I2165" s="132" t="s">
        <v>1100</v>
      </c>
      <c r="J2165" s="132" t="s">
        <v>5602</v>
      </c>
      <c r="K2165" s="132" t="s">
        <v>5608</v>
      </c>
      <c r="L2165" s="132" t="s">
        <v>5609</v>
      </c>
      <c r="M2165" s="132" t="s">
        <v>5831</v>
      </c>
      <c r="N2165" s="132" t="s">
        <v>1105</v>
      </c>
      <c r="O2165" s="132" t="s">
        <v>5832</v>
      </c>
      <c r="P2165" s="132" t="s">
        <v>5607</v>
      </c>
      <c r="Q2165" s="132" t="s">
        <v>1108</v>
      </c>
    </row>
    <row r="2166" spans="1:17" x14ac:dyDescent="0.2">
      <c r="A2166" t="s">
        <v>293</v>
      </c>
      <c r="B2166" s="141">
        <f t="shared" si="35"/>
        <v>53.65</v>
      </c>
      <c r="C2166" s="280">
        <v>45904</v>
      </c>
      <c r="D2166" s="279">
        <v>45908</v>
      </c>
      <c r="E2166" s="279">
        <v>45908</v>
      </c>
      <c r="F2166" s="132"/>
      <c r="G2166" s="132" t="s">
        <v>1108</v>
      </c>
      <c r="H2166" s="132" t="s">
        <v>373</v>
      </c>
      <c r="I2166" s="132" t="s">
        <v>1100</v>
      </c>
      <c r="J2166" s="132" t="s">
        <v>5602</v>
      </c>
      <c r="K2166" s="132" t="s">
        <v>5608</v>
      </c>
      <c r="L2166" s="132" t="s">
        <v>5609</v>
      </c>
      <c r="M2166" s="132" t="s">
        <v>5833</v>
      </c>
      <c r="N2166" s="132" t="s">
        <v>1117</v>
      </c>
      <c r="O2166" s="132" t="s">
        <v>5834</v>
      </c>
      <c r="P2166" s="132" t="s">
        <v>5607</v>
      </c>
      <c r="Q2166" s="132" t="s">
        <v>1108</v>
      </c>
    </row>
    <row r="2167" spans="1:17" x14ac:dyDescent="0.2">
      <c r="A2167" t="s">
        <v>293</v>
      </c>
      <c r="B2167" s="141">
        <f t="shared" si="35"/>
        <v>53.65</v>
      </c>
      <c r="C2167" s="280">
        <v>45904</v>
      </c>
      <c r="D2167" s="279">
        <v>45908</v>
      </c>
      <c r="E2167" s="279">
        <v>45908</v>
      </c>
      <c r="F2167" s="132"/>
      <c r="G2167" s="132" t="s">
        <v>5546</v>
      </c>
      <c r="H2167" s="132" t="s">
        <v>373</v>
      </c>
      <c r="I2167" s="132" t="s">
        <v>1100</v>
      </c>
      <c r="J2167" s="132" t="s">
        <v>5602</v>
      </c>
      <c r="K2167" s="132" t="s">
        <v>5608</v>
      </c>
      <c r="L2167" s="132" t="s">
        <v>5609</v>
      </c>
      <c r="M2167" s="132" t="s">
        <v>5835</v>
      </c>
      <c r="N2167" s="132" t="s">
        <v>1105</v>
      </c>
      <c r="O2167" s="132" t="s">
        <v>5836</v>
      </c>
      <c r="P2167" s="132" t="s">
        <v>5607</v>
      </c>
      <c r="Q2167" s="132" t="s">
        <v>1108</v>
      </c>
    </row>
    <row r="2168" spans="1:17" x14ac:dyDescent="0.2">
      <c r="A2168" t="s">
        <v>293</v>
      </c>
      <c r="B2168" s="141">
        <f t="shared" si="35"/>
        <v>53.65</v>
      </c>
      <c r="C2168" s="280">
        <v>45904</v>
      </c>
      <c r="D2168" s="279">
        <v>45908</v>
      </c>
      <c r="E2168" s="279">
        <v>45908</v>
      </c>
      <c r="F2168" s="132"/>
      <c r="G2168" s="132" t="s">
        <v>1108</v>
      </c>
      <c r="H2168" s="132" t="s">
        <v>373</v>
      </c>
      <c r="I2168" s="132" t="s">
        <v>1100</v>
      </c>
      <c r="J2168" s="132" t="s">
        <v>5602</v>
      </c>
      <c r="K2168" s="132" t="s">
        <v>5608</v>
      </c>
      <c r="L2168" s="132" t="s">
        <v>5609</v>
      </c>
      <c r="M2168" s="132" t="s">
        <v>5837</v>
      </c>
      <c r="N2168" s="132" t="s">
        <v>1117</v>
      </c>
      <c r="O2168" s="132" t="s">
        <v>5838</v>
      </c>
      <c r="P2168" s="132" t="s">
        <v>5607</v>
      </c>
      <c r="Q2168" s="132" t="s">
        <v>1108</v>
      </c>
    </row>
    <row r="2169" spans="1:17" x14ac:dyDescent="0.2">
      <c r="A2169" t="s">
        <v>293</v>
      </c>
      <c r="B2169" s="141">
        <f t="shared" si="35"/>
        <v>53.65</v>
      </c>
      <c r="C2169" s="280">
        <v>45904</v>
      </c>
      <c r="D2169" s="279">
        <v>45908</v>
      </c>
      <c r="E2169" s="279">
        <v>45908</v>
      </c>
      <c r="F2169" s="132"/>
      <c r="G2169" s="132" t="s">
        <v>1108</v>
      </c>
      <c r="H2169" s="132" t="s">
        <v>373</v>
      </c>
      <c r="I2169" s="132" t="s">
        <v>1100</v>
      </c>
      <c r="J2169" s="132" t="s">
        <v>5602</v>
      </c>
      <c r="K2169" s="132" t="s">
        <v>5608</v>
      </c>
      <c r="L2169" s="132" t="s">
        <v>5609</v>
      </c>
      <c r="M2169" s="132" t="s">
        <v>5839</v>
      </c>
      <c r="N2169" s="132" t="s">
        <v>1117</v>
      </c>
      <c r="O2169" s="132" t="s">
        <v>5840</v>
      </c>
      <c r="P2169" s="132" t="s">
        <v>5607</v>
      </c>
      <c r="Q2169" s="132" t="s">
        <v>1108</v>
      </c>
    </row>
    <row r="2170" spans="1:17" x14ac:dyDescent="0.2">
      <c r="A2170" t="s">
        <v>293</v>
      </c>
      <c r="B2170" s="141">
        <f t="shared" si="35"/>
        <v>53.65</v>
      </c>
      <c r="C2170" s="280">
        <v>45904</v>
      </c>
      <c r="D2170" s="279">
        <v>45908</v>
      </c>
      <c r="E2170" s="279">
        <v>45908</v>
      </c>
      <c r="F2170" s="132"/>
      <c r="G2170" s="132" t="s">
        <v>4778</v>
      </c>
      <c r="H2170" s="132" t="s">
        <v>373</v>
      </c>
      <c r="I2170" s="132" t="s">
        <v>1100</v>
      </c>
      <c r="J2170" s="132" t="s">
        <v>5602</v>
      </c>
      <c r="K2170" s="132" t="s">
        <v>5608</v>
      </c>
      <c r="L2170" s="132" t="s">
        <v>5609</v>
      </c>
      <c r="M2170" s="132" t="s">
        <v>5841</v>
      </c>
      <c r="N2170" s="132" t="s">
        <v>1105</v>
      </c>
      <c r="O2170" s="132" t="s">
        <v>5842</v>
      </c>
      <c r="P2170" s="132" t="s">
        <v>5607</v>
      </c>
      <c r="Q2170" s="132" t="s">
        <v>1108</v>
      </c>
    </row>
    <row r="2171" spans="1:17" x14ac:dyDescent="0.2">
      <c r="A2171" t="s">
        <v>293</v>
      </c>
      <c r="B2171" s="141">
        <f t="shared" si="35"/>
        <v>53.65</v>
      </c>
      <c r="C2171" s="280">
        <v>45904</v>
      </c>
      <c r="D2171" s="279">
        <v>45908</v>
      </c>
      <c r="E2171" s="279">
        <v>45908</v>
      </c>
      <c r="F2171" s="132"/>
      <c r="G2171" s="132" t="s">
        <v>5295</v>
      </c>
      <c r="H2171" s="132" t="s">
        <v>373</v>
      </c>
      <c r="I2171" s="132" t="s">
        <v>1100</v>
      </c>
      <c r="J2171" s="132" t="s">
        <v>5602</v>
      </c>
      <c r="K2171" s="132" t="s">
        <v>5608</v>
      </c>
      <c r="L2171" s="132" t="s">
        <v>5609</v>
      </c>
      <c r="M2171" s="132" t="s">
        <v>5843</v>
      </c>
      <c r="N2171" s="132" t="s">
        <v>1105</v>
      </c>
      <c r="O2171" s="132" t="s">
        <v>5844</v>
      </c>
      <c r="P2171" s="132" t="s">
        <v>5607</v>
      </c>
      <c r="Q2171" s="132" t="s">
        <v>1108</v>
      </c>
    </row>
    <row r="2172" spans="1:17" x14ac:dyDescent="0.2">
      <c r="A2172" t="s">
        <v>293</v>
      </c>
      <c r="B2172" s="141">
        <f t="shared" si="35"/>
        <v>53.65</v>
      </c>
      <c r="C2172" s="280">
        <v>45904</v>
      </c>
      <c r="D2172" s="279">
        <v>45908</v>
      </c>
      <c r="E2172" s="279">
        <v>45908</v>
      </c>
      <c r="F2172" s="132"/>
      <c r="G2172" s="132" t="s">
        <v>5089</v>
      </c>
      <c r="H2172" s="132" t="s">
        <v>373</v>
      </c>
      <c r="I2172" s="132" t="s">
        <v>1100</v>
      </c>
      <c r="J2172" s="132" t="s">
        <v>5602</v>
      </c>
      <c r="K2172" s="132" t="s">
        <v>5608</v>
      </c>
      <c r="L2172" s="132" t="s">
        <v>5609</v>
      </c>
      <c r="M2172" s="132" t="s">
        <v>5845</v>
      </c>
      <c r="N2172" s="132" t="s">
        <v>1105</v>
      </c>
      <c r="O2172" s="132" t="s">
        <v>5846</v>
      </c>
      <c r="P2172" s="132" t="s">
        <v>5607</v>
      </c>
      <c r="Q2172" s="132" t="s">
        <v>1108</v>
      </c>
    </row>
    <row r="2173" spans="1:17" x14ac:dyDescent="0.2">
      <c r="A2173" t="s">
        <v>293</v>
      </c>
      <c r="B2173" s="141">
        <f t="shared" si="35"/>
        <v>53.32</v>
      </c>
      <c r="C2173" s="280">
        <v>45904</v>
      </c>
      <c r="D2173" s="279">
        <v>45908</v>
      </c>
      <c r="E2173" s="279">
        <v>45908</v>
      </c>
      <c r="F2173" s="132"/>
      <c r="G2173" s="132" t="s">
        <v>1108</v>
      </c>
      <c r="H2173" s="132" t="s">
        <v>373</v>
      </c>
      <c r="I2173" s="132" t="s">
        <v>1100</v>
      </c>
      <c r="J2173" s="132" t="s">
        <v>5602</v>
      </c>
      <c r="K2173" s="132" t="s">
        <v>5603</v>
      </c>
      <c r="L2173" s="132" t="s">
        <v>5604</v>
      </c>
      <c r="M2173" s="132" t="s">
        <v>5847</v>
      </c>
      <c r="N2173" s="132" t="s">
        <v>1112</v>
      </c>
      <c r="O2173" s="132" t="s">
        <v>5848</v>
      </c>
      <c r="P2173" s="132" t="s">
        <v>5607</v>
      </c>
      <c r="Q2173" s="132" t="s">
        <v>1108</v>
      </c>
    </row>
    <row r="2174" spans="1:17" x14ac:dyDescent="0.2">
      <c r="A2174" t="s">
        <v>293</v>
      </c>
      <c r="B2174" s="141">
        <f t="shared" si="35"/>
        <v>53.65</v>
      </c>
      <c r="C2174" s="280">
        <v>45904</v>
      </c>
      <c r="D2174" s="279">
        <v>45908</v>
      </c>
      <c r="E2174" s="279">
        <v>45908</v>
      </c>
      <c r="F2174" s="132"/>
      <c r="G2174" s="132" t="s">
        <v>5080</v>
      </c>
      <c r="H2174" s="132" t="s">
        <v>373</v>
      </c>
      <c r="I2174" s="132" t="s">
        <v>1100</v>
      </c>
      <c r="J2174" s="132" t="s">
        <v>5602</v>
      </c>
      <c r="K2174" s="132" t="s">
        <v>5608</v>
      </c>
      <c r="L2174" s="132" t="s">
        <v>5609</v>
      </c>
      <c r="M2174" s="132" t="s">
        <v>5849</v>
      </c>
      <c r="N2174" s="132" t="s">
        <v>1105</v>
      </c>
      <c r="O2174" s="132" t="s">
        <v>5850</v>
      </c>
      <c r="P2174" s="132" t="s">
        <v>5607</v>
      </c>
      <c r="Q2174" s="132" t="s">
        <v>1108</v>
      </c>
    </row>
    <row r="2175" spans="1:17" x14ac:dyDescent="0.2">
      <c r="A2175" t="s">
        <v>293</v>
      </c>
      <c r="B2175" s="141">
        <f t="shared" si="35"/>
        <v>53.65</v>
      </c>
      <c r="C2175" s="280">
        <v>45904</v>
      </c>
      <c r="D2175" s="279">
        <v>45908</v>
      </c>
      <c r="E2175" s="279">
        <v>45908</v>
      </c>
      <c r="F2175" s="132"/>
      <c r="G2175" s="132" t="s">
        <v>5851</v>
      </c>
      <c r="H2175" s="132" t="s">
        <v>373</v>
      </c>
      <c r="I2175" s="132" t="s">
        <v>1100</v>
      </c>
      <c r="J2175" s="132" t="s">
        <v>5602</v>
      </c>
      <c r="K2175" s="132" t="s">
        <v>5608</v>
      </c>
      <c r="L2175" s="132" t="s">
        <v>5609</v>
      </c>
      <c r="M2175" s="132" t="s">
        <v>5852</v>
      </c>
      <c r="N2175" s="132" t="s">
        <v>1105</v>
      </c>
      <c r="O2175" s="132" t="s">
        <v>5853</v>
      </c>
      <c r="P2175" s="132" t="s">
        <v>5607</v>
      </c>
      <c r="Q2175" s="132" t="s">
        <v>1108</v>
      </c>
    </row>
    <row r="2176" spans="1:17" x14ac:dyDescent="0.2">
      <c r="A2176" t="s">
        <v>293</v>
      </c>
      <c r="B2176" s="141">
        <f t="shared" si="35"/>
        <v>53.32</v>
      </c>
      <c r="C2176" s="280">
        <v>45904</v>
      </c>
      <c r="D2176" s="279">
        <v>45908</v>
      </c>
      <c r="E2176" s="279">
        <v>45908</v>
      </c>
      <c r="F2176" s="132"/>
      <c r="G2176" s="132" t="s">
        <v>1108</v>
      </c>
      <c r="H2176" s="132" t="s">
        <v>373</v>
      </c>
      <c r="I2176" s="132" t="s">
        <v>1100</v>
      </c>
      <c r="J2176" s="132" t="s">
        <v>5602</v>
      </c>
      <c r="K2176" s="132" t="s">
        <v>5603</v>
      </c>
      <c r="L2176" s="132" t="s">
        <v>5604</v>
      </c>
      <c r="M2176" s="132" t="s">
        <v>5854</v>
      </c>
      <c r="N2176" s="132" t="s">
        <v>1112</v>
      </c>
      <c r="O2176" s="132" t="s">
        <v>5855</v>
      </c>
      <c r="P2176" s="132" t="s">
        <v>5607</v>
      </c>
      <c r="Q2176" s="132" t="s">
        <v>1108</v>
      </c>
    </row>
    <row r="2177" spans="1:17" x14ac:dyDescent="0.2">
      <c r="A2177" t="s">
        <v>293</v>
      </c>
      <c r="B2177" s="141">
        <f t="shared" si="35"/>
        <v>53.65</v>
      </c>
      <c r="C2177" s="280">
        <v>45904</v>
      </c>
      <c r="D2177" s="279">
        <v>45908</v>
      </c>
      <c r="E2177" s="279">
        <v>45908</v>
      </c>
      <c r="F2177" s="132"/>
      <c r="G2177" s="132" t="s">
        <v>5173</v>
      </c>
      <c r="H2177" s="132" t="s">
        <v>373</v>
      </c>
      <c r="I2177" s="132" t="s">
        <v>1100</v>
      </c>
      <c r="J2177" s="132" t="s">
        <v>5602</v>
      </c>
      <c r="K2177" s="132" t="s">
        <v>5608</v>
      </c>
      <c r="L2177" s="132" t="s">
        <v>5609</v>
      </c>
      <c r="M2177" s="132" t="s">
        <v>5856</v>
      </c>
      <c r="N2177" s="132" t="s">
        <v>1105</v>
      </c>
      <c r="O2177" s="132" t="s">
        <v>5857</v>
      </c>
      <c r="P2177" s="132" t="s">
        <v>5607</v>
      </c>
      <c r="Q2177" s="132" t="s">
        <v>1108</v>
      </c>
    </row>
    <row r="2178" spans="1:17" x14ac:dyDescent="0.2">
      <c r="A2178" t="s">
        <v>293</v>
      </c>
      <c r="B2178" s="141">
        <f t="shared" si="35"/>
        <v>53.32</v>
      </c>
      <c r="C2178" s="280">
        <v>45904</v>
      </c>
      <c r="D2178" s="279">
        <v>45908</v>
      </c>
      <c r="E2178" s="279">
        <v>45908</v>
      </c>
      <c r="F2178" s="132"/>
      <c r="G2178" s="132" t="s">
        <v>1108</v>
      </c>
      <c r="H2178" s="132" t="s">
        <v>373</v>
      </c>
      <c r="I2178" s="132" t="s">
        <v>1100</v>
      </c>
      <c r="J2178" s="132" t="s">
        <v>5602</v>
      </c>
      <c r="K2178" s="132" t="s">
        <v>5603</v>
      </c>
      <c r="L2178" s="132" t="s">
        <v>5604</v>
      </c>
      <c r="M2178" s="132" t="s">
        <v>5858</v>
      </c>
      <c r="N2178" s="132" t="s">
        <v>1112</v>
      </c>
      <c r="O2178" s="132" t="s">
        <v>5859</v>
      </c>
      <c r="P2178" s="132" t="s">
        <v>5607</v>
      </c>
      <c r="Q2178" s="132" t="s">
        <v>1108</v>
      </c>
    </row>
    <row r="2179" spans="1:17" x14ac:dyDescent="0.2">
      <c r="A2179" t="s">
        <v>293</v>
      </c>
      <c r="B2179" s="141">
        <f t="shared" si="35"/>
        <v>53.65</v>
      </c>
      <c r="C2179" s="280">
        <v>45904</v>
      </c>
      <c r="D2179" s="279">
        <v>45908</v>
      </c>
      <c r="E2179" s="279">
        <v>45908</v>
      </c>
      <c r="F2179" s="132"/>
      <c r="G2179" s="132" t="s">
        <v>1108</v>
      </c>
      <c r="H2179" s="132" t="s">
        <v>373</v>
      </c>
      <c r="I2179" s="132" t="s">
        <v>1100</v>
      </c>
      <c r="J2179" s="132" t="s">
        <v>5602</v>
      </c>
      <c r="K2179" s="132" t="s">
        <v>5608</v>
      </c>
      <c r="L2179" s="132" t="s">
        <v>5609</v>
      </c>
      <c r="M2179" s="132" t="s">
        <v>5860</v>
      </c>
      <c r="N2179" s="132" t="s">
        <v>1117</v>
      </c>
      <c r="O2179" s="132" t="s">
        <v>5861</v>
      </c>
      <c r="P2179" s="132" t="s">
        <v>5607</v>
      </c>
      <c r="Q2179" s="132" t="s">
        <v>1108</v>
      </c>
    </row>
    <row r="2180" spans="1:17" x14ac:dyDescent="0.2">
      <c r="A2180" t="s">
        <v>293</v>
      </c>
      <c r="B2180" s="141">
        <f t="shared" si="35"/>
        <v>53.65</v>
      </c>
      <c r="C2180" s="280">
        <v>45904</v>
      </c>
      <c r="D2180" s="279">
        <v>45908</v>
      </c>
      <c r="E2180" s="279">
        <v>45908</v>
      </c>
      <c r="F2180" s="132"/>
      <c r="G2180" s="132" t="s">
        <v>4670</v>
      </c>
      <c r="H2180" s="132" t="s">
        <v>373</v>
      </c>
      <c r="I2180" s="132" t="s">
        <v>1100</v>
      </c>
      <c r="J2180" s="132" t="s">
        <v>5602</v>
      </c>
      <c r="K2180" s="132" t="s">
        <v>5608</v>
      </c>
      <c r="L2180" s="132" t="s">
        <v>5609</v>
      </c>
      <c r="M2180" s="132" t="s">
        <v>5862</v>
      </c>
      <c r="N2180" s="132" t="s">
        <v>1105</v>
      </c>
      <c r="O2180" s="132" t="s">
        <v>5863</v>
      </c>
      <c r="P2180" s="132" t="s">
        <v>5607</v>
      </c>
      <c r="Q2180" s="132" t="s">
        <v>1108</v>
      </c>
    </row>
    <row r="2181" spans="1:17" x14ac:dyDescent="0.2">
      <c r="A2181" t="s">
        <v>293</v>
      </c>
      <c r="B2181" s="141">
        <f t="shared" si="35"/>
        <v>53.65</v>
      </c>
      <c r="C2181" s="280">
        <v>45904</v>
      </c>
      <c r="D2181" s="279">
        <v>45908</v>
      </c>
      <c r="E2181" s="279">
        <v>45908</v>
      </c>
      <c r="F2181" s="132"/>
      <c r="G2181" s="132" t="s">
        <v>1108</v>
      </c>
      <c r="H2181" s="132" t="s">
        <v>373</v>
      </c>
      <c r="I2181" s="132" t="s">
        <v>1100</v>
      </c>
      <c r="J2181" s="132" t="s">
        <v>5602</v>
      </c>
      <c r="K2181" s="132" t="s">
        <v>5608</v>
      </c>
      <c r="L2181" s="132" t="s">
        <v>5609</v>
      </c>
      <c r="M2181" s="132" t="s">
        <v>5864</v>
      </c>
      <c r="N2181" s="132" t="s">
        <v>1117</v>
      </c>
      <c r="O2181" s="132" t="s">
        <v>5865</v>
      </c>
      <c r="P2181" s="132" t="s">
        <v>5607</v>
      </c>
      <c r="Q2181" s="132" t="s">
        <v>1108</v>
      </c>
    </row>
    <row r="2182" spans="1:17" x14ac:dyDescent="0.2">
      <c r="A2182" t="s">
        <v>293</v>
      </c>
      <c r="B2182" s="141">
        <f t="shared" si="35"/>
        <v>53.65</v>
      </c>
      <c r="C2182" s="280">
        <v>45904</v>
      </c>
      <c r="D2182" s="279">
        <v>45908</v>
      </c>
      <c r="E2182" s="279">
        <v>45908</v>
      </c>
      <c r="F2182" s="132"/>
      <c r="G2182" s="132" t="s">
        <v>4780</v>
      </c>
      <c r="H2182" s="132" t="s">
        <v>373</v>
      </c>
      <c r="I2182" s="132" t="s">
        <v>1100</v>
      </c>
      <c r="J2182" s="132" t="s">
        <v>5602</v>
      </c>
      <c r="K2182" s="132" t="s">
        <v>5608</v>
      </c>
      <c r="L2182" s="132" t="s">
        <v>5609</v>
      </c>
      <c r="M2182" s="132" t="s">
        <v>5866</v>
      </c>
      <c r="N2182" s="132" t="s">
        <v>1105</v>
      </c>
      <c r="O2182" s="132" t="s">
        <v>5867</v>
      </c>
      <c r="P2182" s="132" t="s">
        <v>5607</v>
      </c>
      <c r="Q2182" s="132" t="s">
        <v>1108</v>
      </c>
    </row>
    <row r="2183" spans="1:17" x14ac:dyDescent="0.2">
      <c r="A2183" t="s">
        <v>293</v>
      </c>
      <c r="B2183" s="141">
        <f t="shared" si="35"/>
        <v>53.65</v>
      </c>
      <c r="C2183" s="280">
        <v>45904</v>
      </c>
      <c r="D2183" s="279">
        <v>45908</v>
      </c>
      <c r="E2183" s="279">
        <v>45908</v>
      </c>
      <c r="F2183" s="132"/>
      <c r="G2183" s="132" t="s">
        <v>5346</v>
      </c>
      <c r="H2183" s="132" t="s">
        <v>373</v>
      </c>
      <c r="I2183" s="132" t="s">
        <v>1100</v>
      </c>
      <c r="J2183" s="132" t="s">
        <v>5602</v>
      </c>
      <c r="K2183" s="132" t="s">
        <v>5608</v>
      </c>
      <c r="L2183" s="132" t="s">
        <v>5609</v>
      </c>
      <c r="M2183" s="132" t="s">
        <v>5868</v>
      </c>
      <c r="N2183" s="132" t="s">
        <v>1105</v>
      </c>
      <c r="O2183" s="132" t="s">
        <v>5869</v>
      </c>
      <c r="P2183" s="132" t="s">
        <v>5607</v>
      </c>
      <c r="Q2183" s="132" t="s">
        <v>1108</v>
      </c>
    </row>
    <row r="2184" spans="1:17" x14ac:dyDescent="0.2">
      <c r="A2184" t="s">
        <v>293</v>
      </c>
      <c r="B2184" s="141">
        <f t="shared" si="35"/>
        <v>53.32</v>
      </c>
      <c r="C2184" s="280">
        <v>45904</v>
      </c>
      <c r="D2184" s="279">
        <v>45908</v>
      </c>
      <c r="E2184" s="279">
        <v>45908</v>
      </c>
      <c r="F2184" s="132"/>
      <c r="G2184" s="132" t="s">
        <v>1108</v>
      </c>
      <c r="H2184" s="132" t="s">
        <v>373</v>
      </c>
      <c r="I2184" s="132" t="s">
        <v>1100</v>
      </c>
      <c r="J2184" s="132" t="s">
        <v>5602</v>
      </c>
      <c r="K2184" s="132" t="s">
        <v>5603</v>
      </c>
      <c r="L2184" s="132" t="s">
        <v>5604</v>
      </c>
      <c r="M2184" s="132" t="s">
        <v>5870</v>
      </c>
      <c r="N2184" s="132" t="s">
        <v>1112</v>
      </c>
      <c r="O2184" s="132" t="s">
        <v>5871</v>
      </c>
      <c r="P2184" s="132" t="s">
        <v>5607</v>
      </c>
      <c r="Q2184" s="132" t="s">
        <v>1108</v>
      </c>
    </row>
    <row r="2185" spans="1:17" x14ac:dyDescent="0.2">
      <c r="A2185" t="s">
        <v>293</v>
      </c>
      <c r="B2185" s="141">
        <f t="shared" si="35"/>
        <v>53.65</v>
      </c>
      <c r="C2185" s="280">
        <v>45904</v>
      </c>
      <c r="D2185" s="279">
        <v>45908</v>
      </c>
      <c r="E2185" s="279">
        <v>45908</v>
      </c>
      <c r="F2185" s="132"/>
      <c r="G2185" s="132" t="s">
        <v>1108</v>
      </c>
      <c r="H2185" s="132" t="s">
        <v>373</v>
      </c>
      <c r="I2185" s="132" t="s">
        <v>1100</v>
      </c>
      <c r="J2185" s="132" t="s">
        <v>5602</v>
      </c>
      <c r="K2185" s="132" t="s">
        <v>5608</v>
      </c>
      <c r="L2185" s="132" t="s">
        <v>5609</v>
      </c>
      <c r="M2185" s="132" t="s">
        <v>5872</v>
      </c>
      <c r="N2185" s="132" t="s">
        <v>1117</v>
      </c>
      <c r="O2185" s="132" t="s">
        <v>5873</v>
      </c>
      <c r="P2185" s="132" t="s">
        <v>5607</v>
      </c>
      <c r="Q2185" s="132" t="s">
        <v>1108</v>
      </c>
    </row>
    <row r="2186" spans="1:17" x14ac:dyDescent="0.2">
      <c r="A2186" t="s">
        <v>293</v>
      </c>
      <c r="B2186" s="141">
        <f t="shared" si="35"/>
        <v>52.99</v>
      </c>
      <c r="C2186" s="280">
        <v>45904</v>
      </c>
      <c r="D2186" s="279">
        <v>45908</v>
      </c>
      <c r="E2186" s="279">
        <v>45908</v>
      </c>
      <c r="F2186" s="132"/>
      <c r="G2186" s="132" t="s">
        <v>4845</v>
      </c>
      <c r="H2186" s="132" t="s">
        <v>373</v>
      </c>
      <c r="I2186" s="132" t="s">
        <v>1100</v>
      </c>
      <c r="J2186" s="132" t="s">
        <v>5602</v>
      </c>
      <c r="K2186" s="132" t="s">
        <v>5874</v>
      </c>
      <c r="L2186" s="132" t="s">
        <v>5875</v>
      </c>
      <c r="M2186" s="132" t="s">
        <v>5876</v>
      </c>
      <c r="N2186" s="132" t="s">
        <v>1105</v>
      </c>
      <c r="O2186" s="132" t="s">
        <v>5877</v>
      </c>
      <c r="P2186" s="132" t="s">
        <v>5607</v>
      </c>
      <c r="Q2186" s="132" t="s">
        <v>1108</v>
      </c>
    </row>
    <row r="2187" spans="1:17" x14ac:dyDescent="0.2">
      <c r="A2187" t="s">
        <v>293</v>
      </c>
      <c r="B2187" s="141">
        <f t="shared" si="35"/>
        <v>53.65</v>
      </c>
      <c r="C2187" s="280">
        <v>45904</v>
      </c>
      <c r="D2187" s="279">
        <v>45908</v>
      </c>
      <c r="E2187" s="279">
        <v>45908</v>
      </c>
      <c r="F2187" s="132"/>
      <c r="G2187" s="132" t="s">
        <v>1108</v>
      </c>
      <c r="H2187" s="132" t="s">
        <v>373</v>
      </c>
      <c r="I2187" s="132" t="s">
        <v>1100</v>
      </c>
      <c r="J2187" s="132" t="s">
        <v>5602</v>
      </c>
      <c r="K2187" s="132" t="s">
        <v>5608</v>
      </c>
      <c r="L2187" s="132" t="s">
        <v>5609</v>
      </c>
      <c r="M2187" s="132" t="s">
        <v>5878</v>
      </c>
      <c r="N2187" s="132" t="s">
        <v>1117</v>
      </c>
      <c r="O2187" s="132" t="s">
        <v>5879</v>
      </c>
      <c r="P2187" s="132" t="s">
        <v>5607</v>
      </c>
      <c r="Q2187" s="132" t="s">
        <v>1108</v>
      </c>
    </row>
    <row r="2188" spans="1:17" x14ac:dyDescent="0.2">
      <c r="A2188" t="s">
        <v>293</v>
      </c>
      <c r="B2188" s="141">
        <f t="shared" si="35"/>
        <v>53.65</v>
      </c>
      <c r="C2188" s="280">
        <v>45904</v>
      </c>
      <c r="D2188" s="279">
        <v>45908</v>
      </c>
      <c r="E2188" s="279">
        <v>45908</v>
      </c>
      <c r="F2188" s="132"/>
      <c r="G2188" s="132" t="s">
        <v>1108</v>
      </c>
      <c r="H2188" s="132" t="s">
        <v>373</v>
      </c>
      <c r="I2188" s="132" t="s">
        <v>1100</v>
      </c>
      <c r="J2188" s="132" t="s">
        <v>5602</v>
      </c>
      <c r="K2188" s="132" t="s">
        <v>5608</v>
      </c>
      <c r="L2188" s="132" t="s">
        <v>5609</v>
      </c>
      <c r="M2188" s="132" t="s">
        <v>5880</v>
      </c>
      <c r="N2188" s="132" t="s">
        <v>4957</v>
      </c>
      <c r="O2188" s="132" t="s">
        <v>5881</v>
      </c>
      <c r="P2188" s="132" t="s">
        <v>5607</v>
      </c>
      <c r="Q2188" s="132" t="s">
        <v>1108</v>
      </c>
    </row>
    <row r="2189" spans="1:17" x14ac:dyDescent="0.2">
      <c r="A2189" t="s">
        <v>293</v>
      </c>
      <c r="B2189" s="141">
        <f t="shared" si="35"/>
        <v>53.65</v>
      </c>
      <c r="C2189" s="280">
        <v>45904</v>
      </c>
      <c r="D2189" s="279">
        <v>45908</v>
      </c>
      <c r="E2189" s="279">
        <v>45908</v>
      </c>
      <c r="F2189" s="132"/>
      <c r="G2189" s="132" t="s">
        <v>5239</v>
      </c>
      <c r="H2189" s="132" t="s">
        <v>373</v>
      </c>
      <c r="I2189" s="132" t="s">
        <v>1100</v>
      </c>
      <c r="J2189" s="132" t="s">
        <v>5602</v>
      </c>
      <c r="K2189" s="132" t="s">
        <v>5608</v>
      </c>
      <c r="L2189" s="132" t="s">
        <v>5609</v>
      </c>
      <c r="M2189" s="132" t="s">
        <v>5882</v>
      </c>
      <c r="N2189" s="132" t="s">
        <v>1105</v>
      </c>
      <c r="O2189" s="132" t="s">
        <v>5883</v>
      </c>
      <c r="P2189" s="132" t="s">
        <v>5607</v>
      </c>
      <c r="Q2189" s="132" t="s">
        <v>1108</v>
      </c>
    </row>
    <row r="2190" spans="1:17" x14ac:dyDescent="0.2">
      <c r="A2190" t="s">
        <v>293</v>
      </c>
      <c r="B2190" s="141">
        <f t="shared" si="35"/>
        <v>53.65</v>
      </c>
      <c r="C2190" s="280">
        <v>45904</v>
      </c>
      <c r="D2190" s="279">
        <v>45908</v>
      </c>
      <c r="E2190" s="279">
        <v>45908</v>
      </c>
      <c r="F2190" s="132"/>
      <c r="G2190" s="132" t="s">
        <v>5049</v>
      </c>
      <c r="H2190" s="132" t="s">
        <v>373</v>
      </c>
      <c r="I2190" s="132" t="s">
        <v>1100</v>
      </c>
      <c r="J2190" s="132" t="s">
        <v>5602</v>
      </c>
      <c r="K2190" s="132" t="s">
        <v>5608</v>
      </c>
      <c r="L2190" s="132" t="s">
        <v>5609</v>
      </c>
      <c r="M2190" s="132" t="s">
        <v>5884</v>
      </c>
      <c r="N2190" s="132" t="s">
        <v>1105</v>
      </c>
      <c r="O2190" s="132" t="s">
        <v>5885</v>
      </c>
      <c r="P2190" s="132" t="s">
        <v>5607</v>
      </c>
      <c r="Q2190" s="132" t="s">
        <v>1108</v>
      </c>
    </row>
    <row r="2191" spans="1:17" x14ac:dyDescent="0.2">
      <c r="A2191" t="s">
        <v>293</v>
      </c>
      <c r="B2191" s="141">
        <f t="shared" si="35"/>
        <v>53.32</v>
      </c>
      <c r="C2191" s="280">
        <v>45904</v>
      </c>
      <c r="D2191" s="279">
        <v>45908</v>
      </c>
      <c r="E2191" s="279">
        <v>45908</v>
      </c>
      <c r="F2191" s="132"/>
      <c r="G2191" s="132" t="s">
        <v>1108</v>
      </c>
      <c r="H2191" s="132" t="s">
        <v>373</v>
      </c>
      <c r="I2191" s="132" t="s">
        <v>1100</v>
      </c>
      <c r="J2191" s="132" t="s">
        <v>5602</v>
      </c>
      <c r="K2191" s="132" t="s">
        <v>5603</v>
      </c>
      <c r="L2191" s="132" t="s">
        <v>5604</v>
      </c>
      <c r="M2191" s="132" t="s">
        <v>5886</v>
      </c>
      <c r="N2191" s="132" t="s">
        <v>1112</v>
      </c>
      <c r="O2191" s="132" t="s">
        <v>5887</v>
      </c>
      <c r="P2191" s="132" t="s">
        <v>5607</v>
      </c>
      <c r="Q2191" s="132" t="s">
        <v>1108</v>
      </c>
    </row>
    <row r="2192" spans="1:17" x14ac:dyDescent="0.2">
      <c r="A2192" t="s">
        <v>293</v>
      </c>
      <c r="B2192" s="141">
        <f t="shared" si="35"/>
        <v>53.65</v>
      </c>
      <c r="C2192" s="280">
        <v>45904</v>
      </c>
      <c r="D2192" s="279">
        <v>45908</v>
      </c>
      <c r="E2192" s="279">
        <v>45908</v>
      </c>
      <c r="F2192" s="132"/>
      <c r="G2192" s="132" t="s">
        <v>1108</v>
      </c>
      <c r="H2192" s="132" t="s">
        <v>373</v>
      </c>
      <c r="I2192" s="132" t="s">
        <v>1100</v>
      </c>
      <c r="J2192" s="132" t="s">
        <v>5602</v>
      </c>
      <c r="K2192" s="132" t="s">
        <v>5608</v>
      </c>
      <c r="L2192" s="132" t="s">
        <v>5609</v>
      </c>
      <c r="M2192" s="132" t="s">
        <v>5888</v>
      </c>
      <c r="N2192" s="132" t="s">
        <v>1117</v>
      </c>
      <c r="O2192" s="132" t="s">
        <v>5889</v>
      </c>
      <c r="P2192" s="132" t="s">
        <v>5607</v>
      </c>
      <c r="Q2192" s="132" t="s">
        <v>1108</v>
      </c>
    </row>
    <row r="2193" spans="1:17" x14ac:dyDescent="0.2">
      <c r="A2193" t="s">
        <v>293</v>
      </c>
      <c r="B2193" s="141">
        <f t="shared" si="35"/>
        <v>53.65</v>
      </c>
      <c r="C2193" s="280">
        <v>45904</v>
      </c>
      <c r="D2193" s="279">
        <v>45908</v>
      </c>
      <c r="E2193" s="279">
        <v>45908</v>
      </c>
      <c r="F2193" s="132"/>
      <c r="G2193" s="132" t="s">
        <v>1108</v>
      </c>
      <c r="H2193" s="132" t="s">
        <v>373</v>
      </c>
      <c r="I2193" s="132" t="s">
        <v>1100</v>
      </c>
      <c r="J2193" s="132" t="s">
        <v>5602</v>
      </c>
      <c r="K2193" s="132" t="s">
        <v>5608</v>
      </c>
      <c r="L2193" s="132" t="s">
        <v>5609</v>
      </c>
      <c r="M2193" s="132" t="s">
        <v>5890</v>
      </c>
      <c r="N2193" s="132" t="s">
        <v>1117</v>
      </c>
      <c r="O2193" s="132" t="s">
        <v>5891</v>
      </c>
      <c r="P2193" s="132" t="s">
        <v>5607</v>
      </c>
      <c r="Q2193" s="132" t="s">
        <v>1108</v>
      </c>
    </row>
    <row r="2194" spans="1:17" x14ac:dyDescent="0.2">
      <c r="A2194" t="s">
        <v>293</v>
      </c>
      <c r="B2194" s="141">
        <f t="shared" si="35"/>
        <v>53.65</v>
      </c>
      <c r="C2194" s="280">
        <v>45904</v>
      </c>
      <c r="D2194" s="279">
        <v>45908</v>
      </c>
      <c r="E2194" s="279">
        <v>45908</v>
      </c>
      <c r="F2194" s="132"/>
      <c r="G2194" s="132" t="s">
        <v>4662</v>
      </c>
      <c r="H2194" s="132" t="s">
        <v>373</v>
      </c>
      <c r="I2194" s="132" t="s">
        <v>1100</v>
      </c>
      <c r="J2194" s="132" t="s">
        <v>5602</v>
      </c>
      <c r="K2194" s="132" t="s">
        <v>5608</v>
      </c>
      <c r="L2194" s="132" t="s">
        <v>5609</v>
      </c>
      <c r="M2194" s="132" t="s">
        <v>5892</v>
      </c>
      <c r="N2194" s="132" t="s">
        <v>1105</v>
      </c>
      <c r="O2194" s="132" t="s">
        <v>5893</v>
      </c>
      <c r="P2194" s="132" t="s">
        <v>5607</v>
      </c>
      <c r="Q2194" s="132" t="s">
        <v>1108</v>
      </c>
    </row>
    <row r="2195" spans="1:17" x14ac:dyDescent="0.2">
      <c r="A2195" t="s">
        <v>293</v>
      </c>
      <c r="B2195" s="141">
        <f t="shared" si="35"/>
        <v>53.32</v>
      </c>
      <c r="C2195" s="280">
        <v>45904</v>
      </c>
      <c r="D2195" s="279">
        <v>45908</v>
      </c>
      <c r="E2195" s="279">
        <v>45908</v>
      </c>
      <c r="F2195" s="132"/>
      <c r="G2195" s="132" t="s">
        <v>1108</v>
      </c>
      <c r="H2195" s="132" t="s">
        <v>373</v>
      </c>
      <c r="I2195" s="132" t="s">
        <v>1100</v>
      </c>
      <c r="J2195" s="132" t="s">
        <v>5602</v>
      </c>
      <c r="K2195" s="132" t="s">
        <v>5603</v>
      </c>
      <c r="L2195" s="132" t="s">
        <v>5604</v>
      </c>
      <c r="M2195" s="132" t="s">
        <v>5894</v>
      </c>
      <c r="N2195" s="132" t="s">
        <v>1112</v>
      </c>
      <c r="O2195" s="132" t="s">
        <v>5895</v>
      </c>
      <c r="P2195" s="132" t="s">
        <v>5607</v>
      </c>
      <c r="Q2195" s="132" t="s">
        <v>1108</v>
      </c>
    </row>
    <row r="2196" spans="1:17" x14ac:dyDescent="0.2">
      <c r="A2196" t="s">
        <v>293</v>
      </c>
      <c r="B2196" s="141">
        <f t="shared" si="35"/>
        <v>53.65</v>
      </c>
      <c r="C2196" s="280">
        <v>45904</v>
      </c>
      <c r="D2196" s="279">
        <v>45908</v>
      </c>
      <c r="E2196" s="279">
        <v>45908</v>
      </c>
      <c r="F2196" s="132"/>
      <c r="G2196" s="132" t="s">
        <v>1108</v>
      </c>
      <c r="H2196" s="132" t="s">
        <v>373</v>
      </c>
      <c r="I2196" s="132" t="s">
        <v>1100</v>
      </c>
      <c r="J2196" s="132" t="s">
        <v>5602</v>
      </c>
      <c r="K2196" s="132" t="s">
        <v>5608</v>
      </c>
      <c r="L2196" s="132" t="s">
        <v>5609</v>
      </c>
      <c r="M2196" s="132" t="s">
        <v>5896</v>
      </c>
      <c r="N2196" s="132" t="s">
        <v>1117</v>
      </c>
      <c r="O2196" s="132" t="s">
        <v>5897</v>
      </c>
      <c r="P2196" s="132" t="s">
        <v>5607</v>
      </c>
      <c r="Q2196" s="132" t="s">
        <v>1108</v>
      </c>
    </row>
    <row r="2197" spans="1:17" x14ac:dyDescent="0.2">
      <c r="A2197" t="s">
        <v>293</v>
      </c>
      <c r="B2197" s="141">
        <f t="shared" si="35"/>
        <v>53.65</v>
      </c>
      <c r="C2197" s="280">
        <v>45904</v>
      </c>
      <c r="D2197" s="279">
        <v>45908</v>
      </c>
      <c r="E2197" s="279">
        <v>45908</v>
      </c>
      <c r="F2197" s="132"/>
      <c r="G2197" s="132" t="s">
        <v>1108</v>
      </c>
      <c r="H2197" s="132" t="s">
        <v>373</v>
      </c>
      <c r="I2197" s="132" t="s">
        <v>1100</v>
      </c>
      <c r="J2197" s="132" t="s">
        <v>5602</v>
      </c>
      <c r="K2197" s="132" t="s">
        <v>5608</v>
      </c>
      <c r="L2197" s="132" t="s">
        <v>5609</v>
      </c>
      <c r="M2197" s="132" t="s">
        <v>5898</v>
      </c>
      <c r="N2197" s="132" t="s">
        <v>1117</v>
      </c>
      <c r="O2197" s="132" t="s">
        <v>5899</v>
      </c>
      <c r="P2197" s="132" t="s">
        <v>5607</v>
      </c>
      <c r="Q2197" s="132" t="s">
        <v>1108</v>
      </c>
    </row>
    <row r="2198" spans="1:17" x14ac:dyDescent="0.2">
      <c r="A2198" t="s">
        <v>293</v>
      </c>
      <c r="B2198" s="141">
        <f t="shared" si="35"/>
        <v>53.65</v>
      </c>
      <c r="C2198" s="280">
        <v>45904</v>
      </c>
      <c r="D2198" s="279">
        <v>45908</v>
      </c>
      <c r="E2198" s="279">
        <v>45908</v>
      </c>
      <c r="F2198" s="132"/>
      <c r="G2198" s="132" t="s">
        <v>4824</v>
      </c>
      <c r="H2198" s="132" t="s">
        <v>373</v>
      </c>
      <c r="I2198" s="132" t="s">
        <v>1100</v>
      </c>
      <c r="J2198" s="132" t="s">
        <v>5602</v>
      </c>
      <c r="K2198" s="132" t="s">
        <v>5608</v>
      </c>
      <c r="L2198" s="132" t="s">
        <v>5609</v>
      </c>
      <c r="M2198" s="132" t="s">
        <v>5900</v>
      </c>
      <c r="N2198" s="132" t="s">
        <v>1105</v>
      </c>
      <c r="O2198" s="132" t="s">
        <v>5901</v>
      </c>
      <c r="P2198" s="132" t="s">
        <v>5607</v>
      </c>
      <c r="Q2198" s="132" t="s">
        <v>1108</v>
      </c>
    </row>
    <row r="2199" spans="1:17" x14ac:dyDescent="0.2">
      <c r="A2199" t="s">
        <v>293</v>
      </c>
      <c r="B2199" s="141">
        <f t="shared" si="35"/>
        <v>53.65</v>
      </c>
      <c r="C2199" s="280">
        <v>45904</v>
      </c>
      <c r="D2199" s="279">
        <v>45908</v>
      </c>
      <c r="E2199" s="279">
        <v>45908</v>
      </c>
      <c r="F2199" s="132"/>
      <c r="G2199" s="132" t="s">
        <v>1108</v>
      </c>
      <c r="H2199" s="132" t="s">
        <v>373</v>
      </c>
      <c r="I2199" s="132" t="s">
        <v>1100</v>
      </c>
      <c r="J2199" s="132" t="s">
        <v>5602</v>
      </c>
      <c r="K2199" s="132" t="s">
        <v>5608</v>
      </c>
      <c r="L2199" s="132" t="s">
        <v>5609</v>
      </c>
      <c r="M2199" s="132" t="s">
        <v>5902</v>
      </c>
      <c r="N2199" s="132" t="s">
        <v>1117</v>
      </c>
      <c r="O2199" s="132" t="s">
        <v>5903</v>
      </c>
      <c r="P2199" s="132" t="s">
        <v>5607</v>
      </c>
      <c r="Q2199" s="132" t="s">
        <v>1108</v>
      </c>
    </row>
    <row r="2200" spans="1:17" x14ac:dyDescent="0.2">
      <c r="A2200" t="s">
        <v>293</v>
      </c>
      <c r="B2200" s="141">
        <f t="shared" si="35"/>
        <v>53.32</v>
      </c>
      <c r="C2200" s="280">
        <v>45904</v>
      </c>
      <c r="D2200" s="279">
        <v>45908</v>
      </c>
      <c r="E2200" s="279">
        <v>45908</v>
      </c>
      <c r="F2200" s="132"/>
      <c r="G2200" s="132" t="s">
        <v>1108</v>
      </c>
      <c r="H2200" s="132" t="s">
        <v>373</v>
      </c>
      <c r="I2200" s="132" t="s">
        <v>1100</v>
      </c>
      <c r="J2200" s="132" t="s">
        <v>5602</v>
      </c>
      <c r="K2200" s="132" t="s">
        <v>5603</v>
      </c>
      <c r="L2200" s="132" t="s">
        <v>5604</v>
      </c>
      <c r="M2200" s="132" t="s">
        <v>5904</v>
      </c>
      <c r="N2200" s="132" t="s">
        <v>1112</v>
      </c>
      <c r="O2200" s="132" t="s">
        <v>5905</v>
      </c>
      <c r="P2200" s="132" t="s">
        <v>5607</v>
      </c>
      <c r="Q2200" s="132" t="s">
        <v>1108</v>
      </c>
    </row>
    <row r="2201" spans="1:17" x14ac:dyDescent="0.2">
      <c r="A2201" t="s">
        <v>293</v>
      </c>
      <c r="B2201" s="141">
        <f t="shared" si="35"/>
        <v>53.32</v>
      </c>
      <c r="C2201" s="280">
        <v>45904</v>
      </c>
      <c r="D2201" s="279">
        <v>45908</v>
      </c>
      <c r="E2201" s="279">
        <v>45908</v>
      </c>
      <c r="F2201" s="132"/>
      <c r="G2201" s="132" t="s">
        <v>1108</v>
      </c>
      <c r="H2201" s="132" t="s">
        <v>373</v>
      </c>
      <c r="I2201" s="132" t="s">
        <v>1100</v>
      </c>
      <c r="J2201" s="132" t="s">
        <v>5602</v>
      </c>
      <c r="K2201" s="132" t="s">
        <v>5603</v>
      </c>
      <c r="L2201" s="132" t="s">
        <v>5604</v>
      </c>
      <c r="M2201" s="281" t="s">
        <v>5906</v>
      </c>
      <c r="N2201" s="132" t="s">
        <v>1112</v>
      </c>
      <c r="O2201" s="132" t="s">
        <v>5907</v>
      </c>
      <c r="P2201" s="132" t="s">
        <v>5607</v>
      </c>
      <c r="Q2201" s="132" t="s">
        <v>1108</v>
      </c>
    </row>
    <row r="2202" spans="1:17" x14ac:dyDescent="0.2">
      <c r="A2202" t="s">
        <v>293</v>
      </c>
      <c r="B2202" s="141">
        <f t="shared" si="35"/>
        <v>53.65</v>
      </c>
      <c r="C2202" s="280">
        <v>45904</v>
      </c>
      <c r="D2202" s="279">
        <v>45908</v>
      </c>
      <c r="E2202" s="279">
        <v>45908</v>
      </c>
      <c r="F2202" s="132"/>
      <c r="G2202" s="132" t="s">
        <v>4866</v>
      </c>
      <c r="H2202" s="132" t="s">
        <v>373</v>
      </c>
      <c r="I2202" s="132" t="s">
        <v>1100</v>
      </c>
      <c r="J2202" s="132" t="s">
        <v>5602</v>
      </c>
      <c r="K2202" s="132" t="s">
        <v>5608</v>
      </c>
      <c r="L2202" s="132" t="s">
        <v>5609</v>
      </c>
      <c r="M2202" s="132" t="s">
        <v>5908</v>
      </c>
      <c r="N2202" s="132" t="s">
        <v>1105</v>
      </c>
      <c r="O2202" s="132" t="s">
        <v>5909</v>
      </c>
      <c r="P2202" s="132" t="s">
        <v>5607</v>
      </c>
      <c r="Q2202" s="132" t="s">
        <v>1108</v>
      </c>
    </row>
    <row r="2203" spans="1:17" x14ac:dyDescent="0.2">
      <c r="A2203" t="s">
        <v>293</v>
      </c>
      <c r="B2203" s="141">
        <f t="shared" si="35"/>
        <v>53.32</v>
      </c>
      <c r="C2203" s="280">
        <v>45904</v>
      </c>
      <c r="D2203" s="279">
        <v>45908</v>
      </c>
      <c r="E2203" s="279">
        <v>45908</v>
      </c>
      <c r="F2203" s="132"/>
      <c r="G2203" s="132" t="s">
        <v>1108</v>
      </c>
      <c r="H2203" s="132" t="s">
        <v>373</v>
      </c>
      <c r="I2203" s="132" t="s">
        <v>1100</v>
      </c>
      <c r="J2203" s="132" t="s">
        <v>5602</v>
      </c>
      <c r="K2203" s="132" t="s">
        <v>5603</v>
      </c>
      <c r="L2203" s="132" t="s">
        <v>5604</v>
      </c>
      <c r="M2203" s="132" t="s">
        <v>5910</v>
      </c>
      <c r="N2203" s="132" t="s">
        <v>1112</v>
      </c>
      <c r="O2203" s="132" t="s">
        <v>5911</v>
      </c>
      <c r="P2203" s="132" t="s">
        <v>5607</v>
      </c>
      <c r="Q2203" s="132" t="s">
        <v>1108</v>
      </c>
    </row>
    <row r="2204" spans="1:17" x14ac:dyDescent="0.2">
      <c r="A2204" t="s">
        <v>293</v>
      </c>
      <c r="B2204" s="141">
        <f t="shared" si="35"/>
        <v>53.65</v>
      </c>
      <c r="C2204" s="280">
        <v>45904</v>
      </c>
      <c r="D2204" s="279">
        <v>45908</v>
      </c>
      <c r="E2204" s="279">
        <v>45908</v>
      </c>
      <c r="F2204" s="132"/>
      <c r="G2204" s="132" t="s">
        <v>1108</v>
      </c>
      <c r="H2204" s="132" t="s">
        <v>373</v>
      </c>
      <c r="I2204" s="132" t="s">
        <v>1100</v>
      </c>
      <c r="J2204" s="132" t="s">
        <v>5602</v>
      </c>
      <c r="K2204" s="132" t="s">
        <v>5608</v>
      </c>
      <c r="L2204" s="132" t="s">
        <v>5609</v>
      </c>
      <c r="M2204" s="132" t="s">
        <v>5912</v>
      </c>
      <c r="N2204" s="132" t="s">
        <v>1117</v>
      </c>
      <c r="O2204" s="132" t="s">
        <v>5913</v>
      </c>
      <c r="P2204" s="132" t="s">
        <v>5607</v>
      </c>
      <c r="Q2204" s="132" t="s">
        <v>1108</v>
      </c>
    </row>
    <row r="2205" spans="1:17" x14ac:dyDescent="0.2">
      <c r="A2205" t="s">
        <v>293</v>
      </c>
      <c r="B2205" s="141">
        <f t="shared" si="35"/>
        <v>53.32</v>
      </c>
      <c r="C2205" s="280">
        <v>45904</v>
      </c>
      <c r="D2205" s="279">
        <v>45908</v>
      </c>
      <c r="E2205" s="279">
        <v>45908</v>
      </c>
      <c r="F2205" s="132"/>
      <c r="G2205" s="132" t="s">
        <v>1108</v>
      </c>
      <c r="H2205" s="132" t="s">
        <v>373</v>
      </c>
      <c r="I2205" s="132" t="s">
        <v>1100</v>
      </c>
      <c r="J2205" s="132" t="s">
        <v>5602</v>
      </c>
      <c r="K2205" s="132" t="s">
        <v>5603</v>
      </c>
      <c r="L2205" s="132" t="s">
        <v>5604</v>
      </c>
      <c r="M2205" s="132" t="s">
        <v>5914</v>
      </c>
      <c r="N2205" s="132" t="s">
        <v>1112</v>
      </c>
      <c r="O2205" s="132" t="s">
        <v>5915</v>
      </c>
      <c r="P2205" s="132" t="s">
        <v>5607</v>
      </c>
      <c r="Q2205" s="132" t="s">
        <v>1108</v>
      </c>
    </row>
    <row r="2206" spans="1:17" x14ac:dyDescent="0.2">
      <c r="A2206" t="s">
        <v>293</v>
      </c>
      <c r="B2206" s="141">
        <f t="shared" si="35"/>
        <v>53.32</v>
      </c>
      <c r="C2206" s="280">
        <v>45904</v>
      </c>
      <c r="D2206" s="279">
        <v>45908</v>
      </c>
      <c r="E2206" s="279">
        <v>45908</v>
      </c>
      <c r="F2206" s="132"/>
      <c r="G2206" s="132" t="s">
        <v>1108</v>
      </c>
      <c r="H2206" s="132" t="s">
        <v>373</v>
      </c>
      <c r="I2206" s="132" t="s">
        <v>1100</v>
      </c>
      <c r="J2206" s="132" t="s">
        <v>5602</v>
      </c>
      <c r="K2206" s="132" t="s">
        <v>5603</v>
      </c>
      <c r="L2206" s="132" t="s">
        <v>5604</v>
      </c>
      <c r="M2206" s="132" t="s">
        <v>5916</v>
      </c>
      <c r="N2206" s="132" t="s">
        <v>1112</v>
      </c>
      <c r="O2206" s="132" t="s">
        <v>5917</v>
      </c>
      <c r="P2206" s="132" t="s">
        <v>5607</v>
      </c>
      <c r="Q2206" s="132" t="s">
        <v>1108</v>
      </c>
    </row>
    <row r="2207" spans="1:17" x14ac:dyDescent="0.2">
      <c r="A2207" t="s">
        <v>293</v>
      </c>
      <c r="B2207" s="141">
        <f t="shared" si="35"/>
        <v>53.32</v>
      </c>
      <c r="C2207" s="280">
        <v>45904</v>
      </c>
      <c r="D2207" s="279">
        <v>45908</v>
      </c>
      <c r="E2207" s="279">
        <v>45908</v>
      </c>
      <c r="F2207" s="132"/>
      <c r="G2207" s="132" t="s">
        <v>1108</v>
      </c>
      <c r="H2207" s="132" t="s">
        <v>373</v>
      </c>
      <c r="I2207" s="132" t="s">
        <v>1100</v>
      </c>
      <c r="J2207" s="132" t="s">
        <v>5602</v>
      </c>
      <c r="K2207" s="132" t="s">
        <v>5603</v>
      </c>
      <c r="L2207" s="132" t="s">
        <v>5604</v>
      </c>
      <c r="M2207" s="132" t="s">
        <v>5918</v>
      </c>
      <c r="N2207" s="132" t="s">
        <v>1112</v>
      </c>
      <c r="O2207" s="132" t="s">
        <v>5919</v>
      </c>
      <c r="P2207" s="132" t="s">
        <v>5607</v>
      </c>
      <c r="Q2207" s="132" t="s">
        <v>1108</v>
      </c>
    </row>
    <row r="2208" spans="1:17" x14ac:dyDescent="0.2">
      <c r="A2208" t="s">
        <v>293</v>
      </c>
      <c r="B2208" s="141">
        <f t="shared" si="35"/>
        <v>53.65</v>
      </c>
      <c r="C2208" s="280">
        <v>45904</v>
      </c>
      <c r="D2208" s="279">
        <v>45908</v>
      </c>
      <c r="E2208" s="279">
        <v>45908</v>
      </c>
      <c r="F2208" s="132"/>
      <c r="G2208" s="132" t="s">
        <v>1108</v>
      </c>
      <c r="H2208" s="132" t="s">
        <v>373</v>
      </c>
      <c r="I2208" s="132" t="s">
        <v>1100</v>
      </c>
      <c r="J2208" s="132" t="s">
        <v>5602</v>
      </c>
      <c r="K2208" s="132" t="s">
        <v>5608</v>
      </c>
      <c r="L2208" s="132" t="s">
        <v>5609</v>
      </c>
      <c r="M2208" s="132" t="s">
        <v>5920</v>
      </c>
      <c r="N2208" s="132" t="s">
        <v>1117</v>
      </c>
      <c r="O2208" s="132" t="s">
        <v>5921</v>
      </c>
      <c r="P2208" s="132" t="s">
        <v>5607</v>
      </c>
      <c r="Q2208" s="132" t="s">
        <v>1108</v>
      </c>
    </row>
    <row r="2209" spans="1:17" x14ac:dyDescent="0.2">
      <c r="A2209" t="s">
        <v>293</v>
      </c>
      <c r="B2209" s="141">
        <f t="shared" si="35"/>
        <v>53.65</v>
      </c>
      <c r="C2209" s="280">
        <v>45904</v>
      </c>
      <c r="D2209" s="279">
        <v>45908</v>
      </c>
      <c r="E2209" s="279">
        <v>45908</v>
      </c>
      <c r="F2209" s="132"/>
      <c r="G2209" s="132" t="s">
        <v>1108</v>
      </c>
      <c r="H2209" s="132" t="s">
        <v>373</v>
      </c>
      <c r="I2209" s="132" t="s">
        <v>1100</v>
      </c>
      <c r="J2209" s="132" t="s">
        <v>5602</v>
      </c>
      <c r="K2209" s="132" t="s">
        <v>5608</v>
      </c>
      <c r="L2209" s="132" t="s">
        <v>5609</v>
      </c>
      <c r="M2209" s="132" t="s">
        <v>5922</v>
      </c>
      <c r="N2209" s="132" t="s">
        <v>1117</v>
      </c>
      <c r="O2209" s="132" t="s">
        <v>5923</v>
      </c>
      <c r="P2209" s="132" t="s">
        <v>5607</v>
      </c>
      <c r="Q2209" s="132" t="s">
        <v>1108</v>
      </c>
    </row>
    <row r="2210" spans="1:17" x14ac:dyDescent="0.2">
      <c r="A2210" t="s">
        <v>293</v>
      </c>
      <c r="B2210" s="141">
        <f t="shared" si="35"/>
        <v>53.32</v>
      </c>
      <c r="C2210" s="280">
        <v>45904</v>
      </c>
      <c r="D2210" s="279">
        <v>45908</v>
      </c>
      <c r="E2210" s="279">
        <v>45908</v>
      </c>
      <c r="F2210" s="132"/>
      <c r="G2210" s="132" t="s">
        <v>1108</v>
      </c>
      <c r="H2210" s="132" t="s">
        <v>373</v>
      </c>
      <c r="I2210" s="132" t="s">
        <v>1100</v>
      </c>
      <c r="J2210" s="132" t="s">
        <v>5602</v>
      </c>
      <c r="K2210" s="132" t="s">
        <v>5603</v>
      </c>
      <c r="L2210" s="132" t="s">
        <v>5604</v>
      </c>
      <c r="M2210" s="132" t="s">
        <v>5924</v>
      </c>
      <c r="N2210" s="132" t="s">
        <v>1112</v>
      </c>
      <c r="O2210" s="132" t="s">
        <v>5925</v>
      </c>
      <c r="P2210" s="132" t="s">
        <v>5607</v>
      </c>
      <c r="Q2210" s="132" t="s">
        <v>1108</v>
      </c>
    </row>
    <row r="2211" spans="1:17" x14ac:dyDescent="0.2">
      <c r="A2211" t="s">
        <v>293</v>
      </c>
      <c r="B2211" s="141">
        <f t="shared" si="35"/>
        <v>53.65</v>
      </c>
      <c r="C2211" s="280">
        <v>45904</v>
      </c>
      <c r="D2211" s="279">
        <v>45908</v>
      </c>
      <c r="E2211" s="279">
        <v>45908</v>
      </c>
      <c r="F2211" s="132"/>
      <c r="G2211" s="132" t="s">
        <v>4699</v>
      </c>
      <c r="H2211" s="132" t="s">
        <v>373</v>
      </c>
      <c r="I2211" s="132" t="s">
        <v>1100</v>
      </c>
      <c r="J2211" s="132" t="s">
        <v>5602</v>
      </c>
      <c r="K2211" s="132" t="s">
        <v>5608</v>
      </c>
      <c r="L2211" s="132" t="s">
        <v>5609</v>
      </c>
      <c r="M2211" s="132" t="s">
        <v>5926</v>
      </c>
      <c r="N2211" s="132" t="s">
        <v>1105</v>
      </c>
      <c r="O2211" s="132" t="s">
        <v>5927</v>
      </c>
      <c r="P2211" s="132" t="s">
        <v>5607</v>
      </c>
      <c r="Q2211" s="132" t="s">
        <v>1108</v>
      </c>
    </row>
    <row r="2212" spans="1:17" x14ac:dyDescent="0.2">
      <c r="A2212" t="s">
        <v>293</v>
      </c>
      <c r="B2212" s="141">
        <f t="shared" si="35"/>
        <v>53.65</v>
      </c>
      <c r="C2212" s="280">
        <v>45904</v>
      </c>
      <c r="D2212" s="279">
        <v>45908</v>
      </c>
      <c r="E2212" s="279">
        <v>45908</v>
      </c>
      <c r="F2212" s="132"/>
      <c r="G2212" s="132" t="s">
        <v>1108</v>
      </c>
      <c r="H2212" s="132" t="s">
        <v>373</v>
      </c>
      <c r="I2212" s="132" t="s">
        <v>1100</v>
      </c>
      <c r="J2212" s="132" t="s">
        <v>5602</v>
      </c>
      <c r="K2212" s="132" t="s">
        <v>5608</v>
      </c>
      <c r="L2212" s="132" t="s">
        <v>5609</v>
      </c>
      <c r="M2212" s="132" t="s">
        <v>5928</v>
      </c>
      <c r="N2212" s="132" t="s">
        <v>1117</v>
      </c>
      <c r="O2212" s="132" t="s">
        <v>5929</v>
      </c>
      <c r="P2212" s="132" t="s">
        <v>5607</v>
      </c>
      <c r="Q2212" s="132" t="s">
        <v>1108</v>
      </c>
    </row>
    <row r="2213" spans="1:17" x14ac:dyDescent="0.2">
      <c r="A2213" t="s">
        <v>293</v>
      </c>
      <c r="B2213" s="141">
        <f t="shared" si="35"/>
        <v>53.65</v>
      </c>
      <c r="C2213" s="280">
        <v>45904</v>
      </c>
      <c r="D2213" s="279">
        <v>45908</v>
      </c>
      <c r="E2213" s="279">
        <v>45908</v>
      </c>
      <c r="F2213" s="132"/>
      <c r="G2213" s="132" t="s">
        <v>1108</v>
      </c>
      <c r="H2213" s="132" t="s">
        <v>373</v>
      </c>
      <c r="I2213" s="132" t="s">
        <v>1100</v>
      </c>
      <c r="J2213" s="132" t="s">
        <v>5602</v>
      </c>
      <c r="K2213" s="132" t="s">
        <v>5608</v>
      </c>
      <c r="L2213" s="132" t="s">
        <v>5609</v>
      </c>
      <c r="M2213" s="132" t="s">
        <v>5930</v>
      </c>
      <c r="N2213" s="132" t="s">
        <v>1117</v>
      </c>
      <c r="O2213" s="132" t="s">
        <v>5931</v>
      </c>
      <c r="P2213" s="132" t="s">
        <v>5607</v>
      </c>
      <c r="Q2213" s="132" t="s">
        <v>1108</v>
      </c>
    </row>
    <row r="2214" spans="1:17" x14ac:dyDescent="0.2">
      <c r="A2214" t="s">
        <v>293</v>
      </c>
      <c r="B2214" s="141">
        <f t="shared" si="35"/>
        <v>53.65</v>
      </c>
      <c r="C2214" s="280">
        <v>45904</v>
      </c>
      <c r="D2214" s="279">
        <v>45908</v>
      </c>
      <c r="E2214" s="279">
        <v>45908</v>
      </c>
      <c r="F2214" s="132"/>
      <c r="G2214" s="132" t="s">
        <v>1108</v>
      </c>
      <c r="H2214" s="132" t="s">
        <v>373</v>
      </c>
      <c r="I2214" s="132" t="s">
        <v>1100</v>
      </c>
      <c r="J2214" s="132" t="s">
        <v>5602</v>
      </c>
      <c r="K2214" s="132" t="s">
        <v>5608</v>
      </c>
      <c r="L2214" s="132" t="s">
        <v>5609</v>
      </c>
      <c r="M2214" s="132" t="s">
        <v>5932</v>
      </c>
      <c r="N2214" s="132" t="s">
        <v>1117</v>
      </c>
      <c r="O2214" s="132" t="s">
        <v>5933</v>
      </c>
      <c r="P2214" s="132" t="s">
        <v>5607</v>
      </c>
      <c r="Q2214" s="132" t="s">
        <v>1108</v>
      </c>
    </row>
    <row r="2215" spans="1:17" x14ac:dyDescent="0.2">
      <c r="A2215" t="s">
        <v>293</v>
      </c>
      <c r="B2215" s="141">
        <f t="shared" si="35"/>
        <v>53.65</v>
      </c>
      <c r="C2215" s="280">
        <v>45904</v>
      </c>
      <c r="D2215" s="279">
        <v>45908</v>
      </c>
      <c r="E2215" s="279">
        <v>45908</v>
      </c>
      <c r="F2215" s="132"/>
      <c r="G2215" s="132" t="s">
        <v>5362</v>
      </c>
      <c r="H2215" s="132" t="s">
        <v>373</v>
      </c>
      <c r="I2215" s="132" t="s">
        <v>1100</v>
      </c>
      <c r="J2215" s="132" t="s">
        <v>5602</v>
      </c>
      <c r="K2215" s="132" t="s">
        <v>5608</v>
      </c>
      <c r="L2215" s="132" t="s">
        <v>5609</v>
      </c>
      <c r="M2215" s="132" t="s">
        <v>5934</v>
      </c>
      <c r="N2215" s="132" t="s">
        <v>1105</v>
      </c>
      <c r="O2215" s="132" t="s">
        <v>5935</v>
      </c>
      <c r="P2215" s="132" t="s">
        <v>5607</v>
      </c>
      <c r="Q2215" s="132" t="s">
        <v>1108</v>
      </c>
    </row>
    <row r="2216" spans="1:17" x14ac:dyDescent="0.2">
      <c r="A2216" t="s">
        <v>293</v>
      </c>
      <c r="B2216" s="141">
        <f t="shared" si="35"/>
        <v>53.65</v>
      </c>
      <c r="C2216" s="280">
        <v>45904</v>
      </c>
      <c r="D2216" s="279">
        <v>45908</v>
      </c>
      <c r="E2216" s="279">
        <v>45908</v>
      </c>
      <c r="F2216" s="132"/>
      <c r="G2216" s="132" t="s">
        <v>1108</v>
      </c>
      <c r="H2216" s="132" t="s">
        <v>373</v>
      </c>
      <c r="I2216" s="132" t="s">
        <v>1100</v>
      </c>
      <c r="J2216" s="132" t="s">
        <v>5602</v>
      </c>
      <c r="K2216" s="132" t="s">
        <v>5608</v>
      </c>
      <c r="L2216" s="132" t="s">
        <v>5609</v>
      </c>
      <c r="M2216" s="132" t="s">
        <v>5936</v>
      </c>
      <c r="N2216" s="132" t="s">
        <v>1117</v>
      </c>
      <c r="O2216" s="281" t="s">
        <v>5937</v>
      </c>
      <c r="P2216" s="132" t="s">
        <v>5607</v>
      </c>
      <c r="Q2216" s="132" t="s">
        <v>1108</v>
      </c>
    </row>
    <row r="2217" spans="1:17" x14ac:dyDescent="0.2">
      <c r="A2217" t="s">
        <v>293</v>
      </c>
      <c r="B2217" s="141">
        <f t="shared" si="35"/>
        <v>53.32</v>
      </c>
      <c r="C2217" s="280">
        <v>45904</v>
      </c>
      <c r="D2217" s="279">
        <v>45908</v>
      </c>
      <c r="E2217" s="279">
        <v>45908</v>
      </c>
      <c r="F2217" s="132"/>
      <c r="G2217" s="132" t="s">
        <v>1108</v>
      </c>
      <c r="H2217" s="132" t="s">
        <v>373</v>
      </c>
      <c r="I2217" s="132" t="s">
        <v>1100</v>
      </c>
      <c r="J2217" s="132" t="s">
        <v>5602</v>
      </c>
      <c r="K2217" s="132" t="s">
        <v>5603</v>
      </c>
      <c r="L2217" s="132" t="s">
        <v>5604</v>
      </c>
      <c r="M2217" s="132" t="s">
        <v>5938</v>
      </c>
      <c r="N2217" s="132" t="s">
        <v>1112</v>
      </c>
      <c r="O2217" s="132" t="s">
        <v>5939</v>
      </c>
      <c r="P2217" s="132" t="s">
        <v>5607</v>
      </c>
      <c r="Q2217" s="132" t="s">
        <v>1108</v>
      </c>
    </row>
    <row r="2218" spans="1:17" x14ac:dyDescent="0.2">
      <c r="A2218" t="s">
        <v>293</v>
      </c>
      <c r="B2218" s="141">
        <f t="shared" si="35"/>
        <v>53.65</v>
      </c>
      <c r="C2218" s="280">
        <v>45904</v>
      </c>
      <c r="D2218" s="279">
        <v>45908</v>
      </c>
      <c r="E2218" s="279">
        <v>45908</v>
      </c>
      <c r="F2218" s="132"/>
      <c r="G2218" s="132" t="s">
        <v>1108</v>
      </c>
      <c r="H2218" s="132" t="s">
        <v>373</v>
      </c>
      <c r="I2218" s="132" t="s">
        <v>1100</v>
      </c>
      <c r="J2218" s="132" t="s">
        <v>5602</v>
      </c>
      <c r="K2218" s="132" t="s">
        <v>5608</v>
      </c>
      <c r="L2218" s="132" t="s">
        <v>5609</v>
      </c>
      <c r="M2218" s="132" t="s">
        <v>5940</v>
      </c>
      <c r="N2218" s="132" t="s">
        <v>1117</v>
      </c>
      <c r="O2218" s="132" t="s">
        <v>5941</v>
      </c>
      <c r="P2218" s="132" t="s">
        <v>5607</v>
      </c>
      <c r="Q2218" s="132" t="s">
        <v>1108</v>
      </c>
    </row>
    <row r="2219" spans="1:17" x14ac:dyDescent="0.2">
      <c r="A2219" t="s">
        <v>293</v>
      </c>
      <c r="B2219" s="141">
        <f t="shared" si="35"/>
        <v>53.65</v>
      </c>
      <c r="C2219" s="280">
        <v>45904</v>
      </c>
      <c r="D2219" s="279">
        <v>45908</v>
      </c>
      <c r="E2219" s="279">
        <v>45908</v>
      </c>
      <c r="F2219" s="132"/>
      <c r="G2219" s="132" t="s">
        <v>1108</v>
      </c>
      <c r="H2219" s="132" t="s">
        <v>373</v>
      </c>
      <c r="I2219" s="132" t="s">
        <v>1100</v>
      </c>
      <c r="J2219" s="132" t="s">
        <v>5602</v>
      </c>
      <c r="K2219" s="132" t="s">
        <v>5608</v>
      </c>
      <c r="L2219" s="132" t="s">
        <v>5609</v>
      </c>
      <c r="M2219" s="132" t="s">
        <v>5942</v>
      </c>
      <c r="N2219" s="132" t="s">
        <v>1117</v>
      </c>
      <c r="O2219" s="132" t="s">
        <v>5943</v>
      </c>
      <c r="P2219" s="132" t="s">
        <v>5607</v>
      </c>
      <c r="Q2219" s="132" t="s">
        <v>1108</v>
      </c>
    </row>
    <row r="2220" spans="1:17" x14ac:dyDescent="0.2">
      <c r="A2220" t="s">
        <v>293</v>
      </c>
      <c r="B2220" s="141">
        <f t="shared" si="35"/>
        <v>53.32</v>
      </c>
      <c r="C2220" s="280">
        <v>45904</v>
      </c>
      <c r="D2220" s="279">
        <v>45908</v>
      </c>
      <c r="E2220" s="279">
        <v>45908</v>
      </c>
      <c r="F2220" s="132"/>
      <c r="G2220" s="132" t="s">
        <v>1108</v>
      </c>
      <c r="H2220" s="132" t="s">
        <v>373</v>
      </c>
      <c r="I2220" s="132" t="s">
        <v>1100</v>
      </c>
      <c r="J2220" s="132" t="s">
        <v>5602</v>
      </c>
      <c r="K2220" s="132" t="s">
        <v>5603</v>
      </c>
      <c r="L2220" s="132" t="s">
        <v>5604</v>
      </c>
      <c r="M2220" s="132" t="s">
        <v>5944</v>
      </c>
      <c r="N2220" s="132" t="s">
        <v>1112</v>
      </c>
      <c r="O2220" s="132" t="s">
        <v>5945</v>
      </c>
      <c r="P2220" s="132" t="s">
        <v>5607</v>
      </c>
      <c r="Q2220" s="132" t="s">
        <v>1108</v>
      </c>
    </row>
    <row r="2221" spans="1:17" x14ac:dyDescent="0.2">
      <c r="A2221" t="s">
        <v>293</v>
      </c>
      <c r="B2221" s="141">
        <f t="shared" si="35"/>
        <v>53.65</v>
      </c>
      <c r="C2221" s="280">
        <v>45904</v>
      </c>
      <c r="D2221" s="279">
        <v>45908</v>
      </c>
      <c r="E2221" s="279">
        <v>45908</v>
      </c>
      <c r="F2221" s="132"/>
      <c r="G2221" s="132" t="s">
        <v>1108</v>
      </c>
      <c r="H2221" s="132" t="s">
        <v>373</v>
      </c>
      <c r="I2221" s="132" t="s">
        <v>1100</v>
      </c>
      <c r="J2221" s="132" t="s">
        <v>5602</v>
      </c>
      <c r="K2221" s="132" t="s">
        <v>5608</v>
      </c>
      <c r="L2221" s="132" t="s">
        <v>5609</v>
      </c>
      <c r="M2221" s="132" t="s">
        <v>5946</v>
      </c>
      <c r="N2221" s="132" t="s">
        <v>1117</v>
      </c>
      <c r="O2221" s="132" t="s">
        <v>5947</v>
      </c>
      <c r="P2221" s="132" t="s">
        <v>5607</v>
      </c>
      <c r="Q2221" s="132" t="s">
        <v>1108</v>
      </c>
    </row>
    <row r="2222" spans="1:17" x14ac:dyDescent="0.2">
      <c r="A2222" t="s">
        <v>293</v>
      </c>
      <c r="B2222" s="141">
        <f t="shared" ref="B2222:B2285" si="36">_xlfn.NUMBERVALUE(L2222)*0.01</f>
        <v>52.99</v>
      </c>
      <c r="C2222" s="280">
        <v>45904</v>
      </c>
      <c r="D2222" s="279">
        <v>45908</v>
      </c>
      <c r="E2222" s="279">
        <v>45908</v>
      </c>
      <c r="F2222" s="132"/>
      <c r="G2222" s="132" t="s">
        <v>1108</v>
      </c>
      <c r="H2222" s="132" t="s">
        <v>373</v>
      </c>
      <c r="I2222" s="132" t="s">
        <v>1100</v>
      </c>
      <c r="J2222" s="132" t="s">
        <v>5602</v>
      </c>
      <c r="K2222" s="132" t="s">
        <v>5874</v>
      </c>
      <c r="L2222" s="132" t="s">
        <v>5875</v>
      </c>
      <c r="M2222" s="132" t="s">
        <v>5948</v>
      </c>
      <c r="N2222" s="132" t="s">
        <v>1117</v>
      </c>
      <c r="O2222" s="132" t="s">
        <v>5949</v>
      </c>
      <c r="P2222" s="132" t="s">
        <v>5607</v>
      </c>
      <c r="Q2222" s="132" t="s">
        <v>1108</v>
      </c>
    </row>
    <row r="2223" spans="1:17" x14ac:dyDescent="0.2">
      <c r="A2223" t="s">
        <v>293</v>
      </c>
      <c r="B2223" s="141">
        <f t="shared" si="36"/>
        <v>53.65</v>
      </c>
      <c r="C2223" s="280">
        <v>45904</v>
      </c>
      <c r="D2223" s="279">
        <v>45908</v>
      </c>
      <c r="E2223" s="279">
        <v>45908</v>
      </c>
      <c r="F2223" s="132"/>
      <c r="G2223" s="132" t="s">
        <v>1108</v>
      </c>
      <c r="H2223" s="132" t="s">
        <v>373</v>
      </c>
      <c r="I2223" s="132" t="s">
        <v>1100</v>
      </c>
      <c r="J2223" s="132" t="s">
        <v>5602</v>
      </c>
      <c r="K2223" s="132" t="s">
        <v>5608</v>
      </c>
      <c r="L2223" s="132" t="s">
        <v>5609</v>
      </c>
      <c r="M2223" s="132" t="s">
        <v>5950</v>
      </c>
      <c r="N2223" s="132" t="s">
        <v>1117</v>
      </c>
      <c r="O2223" s="132" t="s">
        <v>5951</v>
      </c>
      <c r="P2223" s="132" t="s">
        <v>5607</v>
      </c>
      <c r="Q2223" s="132" t="s">
        <v>1108</v>
      </c>
    </row>
    <row r="2224" spans="1:17" x14ac:dyDescent="0.2">
      <c r="A2224" t="s">
        <v>293</v>
      </c>
      <c r="B2224" s="141">
        <f t="shared" si="36"/>
        <v>53.65</v>
      </c>
      <c r="C2224" s="280">
        <v>45904</v>
      </c>
      <c r="D2224" s="279">
        <v>45908</v>
      </c>
      <c r="E2224" s="279">
        <v>45908</v>
      </c>
      <c r="F2224" s="132"/>
      <c r="G2224" s="132" t="s">
        <v>1108</v>
      </c>
      <c r="H2224" s="132" t="s">
        <v>373</v>
      </c>
      <c r="I2224" s="132" t="s">
        <v>1100</v>
      </c>
      <c r="J2224" s="132" t="s">
        <v>5602</v>
      </c>
      <c r="K2224" s="132" t="s">
        <v>5608</v>
      </c>
      <c r="L2224" s="132" t="s">
        <v>5609</v>
      </c>
      <c r="M2224" s="132" t="s">
        <v>5952</v>
      </c>
      <c r="N2224" s="132" t="s">
        <v>1117</v>
      </c>
      <c r="O2224" s="132" t="s">
        <v>5953</v>
      </c>
      <c r="P2224" s="132" t="s">
        <v>5607</v>
      </c>
      <c r="Q2224" s="132" t="s">
        <v>1108</v>
      </c>
    </row>
    <row r="2225" spans="1:17" x14ac:dyDescent="0.2">
      <c r="A2225" t="s">
        <v>293</v>
      </c>
      <c r="B2225" s="141">
        <f t="shared" si="36"/>
        <v>53.32</v>
      </c>
      <c r="C2225" s="280">
        <v>45904</v>
      </c>
      <c r="D2225" s="279">
        <v>45908</v>
      </c>
      <c r="E2225" s="279">
        <v>45908</v>
      </c>
      <c r="F2225" s="132"/>
      <c r="G2225" s="132" t="s">
        <v>1108</v>
      </c>
      <c r="H2225" s="132" t="s">
        <v>373</v>
      </c>
      <c r="I2225" s="132" t="s">
        <v>1100</v>
      </c>
      <c r="J2225" s="132" t="s">
        <v>5602</v>
      </c>
      <c r="K2225" s="132" t="s">
        <v>5603</v>
      </c>
      <c r="L2225" s="132" t="s">
        <v>5604</v>
      </c>
      <c r="M2225" s="132" t="s">
        <v>5954</v>
      </c>
      <c r="N2225" s="132" t="s">
        <v>1112</v>
      </c>
      <c r="O2225" s="132" t="s">
        <v>5955</v>
      </c>
      <c r="P2225" s="132" t="s">
        <v>5607</v>
      </c>
      <c r="Q2225" s="132" t="s">
        <v>1108</v>
      </c>
    </row>
    <row r="2226" spans="1:17" x14ac:dyDescent="0.2">
      <c r="A2226" t="s">
        <v>293</v>
      </c>
      <c r="B2226" s="141">
        <f t="shared" si="36"/>
        <v>53.65</v>
      </c>
      <c r="C2226" s="280">
        <v>45904</v>
      </c>
      <c r="D2226" s="279">
        <v>45908</v>
      </c>
      <c r="E2226" s="279">
        <v>45908</v>
      </c>
      <c r="F2226" s="132"/>
      <c r="G2226" s="132" t="s">
        <v>1108</v>
      </c>
      <c r="H2226" s="132" t="s">
        <v>373</v>
      </c>
      <c r="I2226" s="132" t="s">
        <v>1100</v>
      </c>
      <c r="J2226" s="132" t="s">
        <v>5602</v>
      </c>
      <c r="K2226" s="132" t="s">
        <v>5608</v>
      </c>
      <c r="L2226" s="132" t="s">
        <v>5609</v>
      </c>
      <c r="M2226" s="132" t="s">
        <v>5956</v>
      </c>
      <c r="N2226" s="132" t="s">
        <v>1117</v>
      </c>
      <c r="O2226" s="132" t="s">
        <v>5957</v>
      </c>
      <c r="P2226" s="132" t="s">
        <v>5607</v>
      </c>
      <c r="Q2226" s="132" t="s">
        <v>1108</v>
      </c>
    </row>
    <row r="2227" spans="1:17" x14ac:dyDescent="0.2">
      <c r="A2227" t="s">
        <v>293</v>
      </c>
      <c r="B2227" s="141">
        <f t="shared" si="36"/>
        <v>53.65</v>
      </c>
      <c r="C2227" s="280">
        <v>45904</v>
      </c>
      <c r="D2227" s="279">
        <v>45908</v>
      </c>
      <c r="E2227" s="279">
        <v>45908</v>
      </c>
      <c r="F2227" s="132"/>
      <c r="G2227" s="132" t="s">
        <v>1108</v>
      </c>
      <c r="H2227" s="132" t="s">
        <v>373</v>
      </c>
      <c r="I2227" s="132" t="s">
        <v>1100</v>
      </c>
      <c r="J2227" s="132" t="s">
        <v>5602</v>
      </c>
      <c r="K2227" s="132" t="s">
        <v>5608</v>
      </c>
      <c r="L2227" s="132" t="s">
        <v>5609</v>
      </c>
      <c r="M2227" s="132" t="s">
        <v>5958</v>
      </c>
      <c r="N2227" s="132" t="s">
        <v>1117</v>
      </c>
      <c r="O2227" s="132" t="s">
        <v>5959</v>
      </c>
      <c r="P2227" s="132" t="s">
        <v>5607</v>
      </c>
      <c r="Q2227" s="132" t="s">
        <v>1108</v>
      </c>
    </row>
    <row r="2228" spans="1:17" x14ac:dyDescent="0.2">
      <c r="A2228" t="s">
        <v>293</v>
      </c>
      <c r="B2228" s="141">
        <f t="shared" si="36"/>
        <v>53.32</v>
      </c>
      <c r="C2228" s="280">
        <v>45904</v>
      </c>
      <c r="D2228" s="279">
        <v>45908</v>
      </c>
      <c r="E2228" s="279">
        <v>45908</v>
      </c>
      <c r="F2228" s="132"/>
      <c r="G2228" s="132" t="s">
        <v>1108</v>
      </c>
      <c r="H2228" s="132" t="s">
        <v>373</v>
      </c>
      <c r="I2228" s="132" t="s">
        <v>1100</v>
      </c>
      <c r="J2228" s="132" t="s">
        <v>5602</v>
      </c>
      <c r="K2228" s="132" t="s">
        <v>5603</v>
      </c>
      <c r="L2228" s="132" t="s">
        <v>5604</v>
      </c>
      <c r="M2228" s="132" t="s">
        <v>5960</v>
      </c>
      <c r="N2228" s="132" t="s">
        <v>1112</v>
      </c>
      <c r="O2228" s="132" t="s">
        <v>5961</v>
      </c>
      <c r="P2228" s="132" t="s">
        <v>5607</v>
      </c>
      <c r="Q2228" s="132" t="s">
        <v>1108</v>
      </c>
    </row>
    <row r="2229" spans="1:17" x14ac:dyDescent="0.2">
      <c r="A2229" t="s">
        <v>293</v>
      </c>
      <c r="B2229" s="141">
        <f t="shared" si="36"/>
        <v>53.32</v>
      </c>
      <c r="C2229" s="280">
        <v>45904</v>
      </c>
      <c r="D2229" s="279">
        <v>45908</v>
      </c>
      <c r="E2229" s="279">
        <v>45908</v>
      </c>
      <c r="F2229" s="132"/>
      <c r="G2229" s="132" t="s">
        <v>1108</v>
      </c>
      <c r="H2229" s="132" t="s">
        <v>373</v>
      </c>
      <c r="I2229" s="132" t="s">
        <v>1100</v>
      </c>
      <c r="J2229" s="132" t="s">
        <v>5602</v>
      </c>
      <c r="K2229" s="132" t="s">
        <v>5603</v>
      </c>
      <c r="L2229" s="132" t="s">
        <v>5604</v>
      </c>
      <c r="M2229" s="132" t="s">
        <v>5962</v>
      </c>
      <c r="N2229" s="132" t="s">
        <v>1112</v>
      </c>
      <c r="O2229" s="132" t="s">
        <v>5963</v>
      </c>
      <c r="P2229" s="132" t="s">
        <v>5607</v>
      </c>
      <c r="Q2229" s="132" t="s">
        <v>1108</v>
      </c>
    </row>
    <row r="2230" spans="1:17" x14ac:dyDescent="0.2">
      <c r="A2230" t="s">
        <v>293</v>
      </c>
      <c r="B2230" s="141">
        <f t="shared" si="36"/>
        <v>53.32</v>
      </c>
      <c r="C2230" s="280">
        <v>45904</v>
      </c>
      <c r="D2230" s="279">
        <v>45908</v>
      </c>
      <c r="E2230" s="279">
        <v>45908</v>
      </c>
      <c r="F2230" s="132"/>
      <c r="G2230" s="132" t="s">
        <v>1108</v>
      </c>
      <c r="H2230" s="132" t="s">
        <v>373</v>
      </c>
      <c r="I2230" s="132" t="s">
        <v>1100</v>
      </c>
      <c r="J2230" s="132" t="s">
        <v>5602</v>
      </c>
      <c r="K2230" s="132" t="s">
        <v>5603</v>
      </c>
      <c r="L2230" s="132" t="s">
        <v>5604</v>
      </c>
      <c r="M2230" s="132" t="s">
        <v>5964</v>
      </c>
      <c r="N2230" s="132" t="s">
        <v>1112</v>
      </c>
      <c r="O2230" s="132" t="s">
        <v>5965</v>
      </c>
      <c r="P2230" s="132" t="s">
        <v>5607</v>
      </c>
      <c r="Q2230" s="132" t="s">
        <v>1108</v>
      </c>
    </row>
    <row r="2231" spans="1:17" x14ac:dyDescent="0.2">
      <c r="A2231" t="s">
        <v>293</v>
      </c>
      <c r="B2231" s="141">
        <f t="shared" si="36"/>
        <v>53.65</v>
      </c>
      <c r="C2231" s="280">
        <v>45904</v>
      </c>
      <c r="D2231" s="279">
        <v>45908</v>
      </c>
      <c r="E2231" s="279">
        <v>45908</v>
      </c>
      <c r="F2231" s="132"/>
      <c r="G2231" s="132" t="s">
        <v>1108</v>
      </c>
      <c r="H2231" s="132" t="s">
        <v>373</v>
      </c>
      <c r="I2231" s="132" t="s">
        <v>1100</v>
      </c>
      <c r="J2231" s="132" t="s">
        <v>5602</v>
      </c>
      <c r="K2231" s="132" t="s">
        <v>5608</v>
      </c>
      <c r="L2231" s="132" t="s">
        <v>5609</v>
      </c>
      <c r="M2231" s="281" t="s">
        <v>5966</v>
      </c>
      <c r="N2231" s="132" t="s">
        <v>1117</v>
      </c>
      <c r="O2231" s="132" t="s">
        <v>5967</v>
      </c>
      <c r="P2231" s="132" t="s">
        <v>5607</v>
      </c>
      <c r="Q2231" s="132" t="s">
        <v>1108</v>
      </c>
    </row>
    <row r="2232" spans="1:17" x14ac:dyDescent="0.2">
      <c r="A2232" t="s">
        <v>293</v>
      </c>
      <c r="B2232" s="141">
        <f t="shared" si="36"/>
        <v>53.32</v>
      </c>
      <c r="C2232" s="280">
        <v>45904</v>
      </c>
      <c r="D2232" s="279">
        <v>45908</v>
      </c>
      <c r="E2232" s="279">
        <v>45908</v>
      </c>
      <c r="F2232" s="132"/>
      <c r="G2232" s="132" t="s">
        <v>1108</v>
      </c>
      <c r="H2232" s="132" t="s">
        <v>373</v>
      </c>
      <c r="I2232" s="132" t="s">
        <v>1100</v>
      </c>
      <c r="J2232" s="132" t="s">
        <v>5602</v>
      </c>
      <c r="K2232" s="132" t="s">
        <v>5603</v>
      </c>
      <c r="L2232" s="132" t="s">
        <v>5604</v>
      </c>
      <c r="M2232" s="132" t="s">
        <v>5968</v>
      </c>
      <c r="N2232" s="132" t="s">
        <v>1112</v>
      </c>
      <c r="O2232" s="132" t="s">
        <v>5969</v>
      </c>
      <c r="P2232" s="132" t="s">
        <v>5607</v>
      </c>
      <c r="Q2232" s="132" t="s">
        <v>1108</v>
      </c>
    </row>
    <row r="2233" spans="1:17" x14ac:dyDescent="0.2">
      <c r="A2233" t="s">
        <v>293</v>
      </c>
      <c r="B2233" s="141">
        <f t="shared" si="36"/>
        <v>53.32</v>
      </c>
      <c r="C2233" s="280">
        <v>45904</v>
      </c>
      <c r="D2233" s="279">
        <v>45908</v>
      </c>
      <c r="E2233" s="279">
        <v>45908</v>
      </c>
      <c r="F2233" s="132"/>
      <c r="G2233" s="132" t="s">
        <v>1108</v>
      </c>
      <c r="H2233" s="132" t="s">
        <v>373</v>
      </c>
      <c r="I2233" s="132" t="s">
        <v>1100</v>
      </c>
      <c r="J2233" s="132" t="s">
        <v>5602</v>
      </c>
      <c r="K2233" s="132" t="s">
        <v>5603</v>
      </c>
      <c r="L2233" s="132" t="s">
        <v>5604</v>
      </c>
      <c r="M2233" s="132" t="s">
        <v>5970</v>
      </c>
      <c r="N2233" s="132" t="s">
        <v>1112</v>
      </c>
      <c r="O2233" s="132" t="s">
        <v>5971</v>
      </c>
      <c r="P2233" s="132" t="s">
        <v>5607</v>
      </c>
      <c r="Q2233" s="132" t="s">
        <v>1108</v>
      </c>
    </row>
    <row r="2234" spans="1:17" x14ac:dyDescent="0.2">
      <c r="A2234" t="s">
        <v>293</v>
      </c>
      <c r="B2234" s="141">
        <f t="shared" si="36"/>
        <v>53.32</v>
      </c>
      <c r="C2234" s="280">
        <v>45904</v>
      </c>
      <c r="D2234" s="279">
        <v>45908</v>
      </c>
      <c r="E2234" s="279">
        <v>45908</v>
      </c>
      <c r="F2234" s="132"/>
      <c r="G2234" s="132" t="s">
        <v>1108</v>
      </c>
      <c r="H2234" s="132" t="s">
        <v>373</v>
      </c>
      <c r="I2234" s="132" t="s">
        <v>1100</v>
      </c>
      <c r="J2234" s="132" t="s">
        <v>5602</v>
      </c>
      <c r="K2234" s="132" t="s">
        <v>5603</v>
      </c>
      <c r="L2234" s="132" t="s">
        <v>5604</v>
      </c>
      <c r="M2234" s="132" t="s">
        <v>5972</v>
      </c>
      <c r="N2234" s="132" t="s">
        <v>1112</v>
      </c>
      <c r="O2234" s="281" t="s">
        <v>5973</v>
      </c>
      <c r="P2234" s="132" t="s">
        <v>5607</v>
      </c>
      <c r="Q2234" s="132" t="s">
        <v>1108</v>
      </c>
    </row>
    <row r="2235" spans="1:17" x14ac:dyDescent="0.2">
      <c r="A2235" t="s">
        <v>293</v>
      </c>
      <c r="B2235" s="141">
        <f t="shared" si="36"/>
        <v>53.32</v>
      </c>
      <c r="C2235" s="280">
        <v>45904</v>
      </c>
      <c r="D2235" s="279">
        <v>45908</v>
      </c>
      <c r="E2235" s="279">
        <v>45908</v>
      </c>
      <c r="F2235" s="132"/>
      <c r="G2235" s="132" t="s">
        <v>1108</v>
      </c>
      <c r="H2235" s="132" t="s">
        <v>373</v>
      </c>
      <c r="I2235" s="132" t="s">
        <v>1100</v>
      </c>
      <c r="J2235" s="132" t="s">
        <v>5602</v>
      </c>
      <c r="K2235" s="132" t="s">
        <v>5603</v>
      </c>
      <c r="L2235" s="132" t="s">
        <v>5604</v>
      </c>
      <c r="M2235" s="132" t="s">
        <v>5974</v>
      </c>
      <c r="N2235" s="132" t="s">
        <v>1112</v>
      </c>
      <c r="O2235" s="132" t="s">
        <v>5975</v>
      </c>
      <c r="P2235" s="132" t="s">
        <v>5607</v>
      </c>
      <c r="Q2235" s="132" t="s">
        <v>1108</v>
      </c>
    </row>
    <row r="2236" spans="1:17" x14ac:dyDescent="0.2">
      <c r="A2236" t="s">
        <v>293</v>
      </c>
      <c r="B2236" s="141">
        <f t="shared" si="36"/>
        <v>53.32</v>
      </c>
      <c r="C2236" s="280">
        <v>45904</v>
      </c>
      <c r="D2236" s="279">
        <v>45908</v>
      </c>
      <c r="E2236" s="279">
        <v>45908</v>
      </c>
      <c r="F2236" s="132"/>
      <c r="G2236" s="132" t="s">
        <v>1108</v>
      </c>
      <c r="H2236" s="132" t="s">
        <v>373</v>
      </c>
      <c r="I2236" s="132" t="s">
        <v>1100</v>
      </c>
      <c r="J2236" s="132" t="s">
        <v>5602</v>
      </c>
      <c r="K2236" s="132" t="s">
        <v>5603</v>
      </c>
      <c r="L2236" s="132" t="s">
        <v>5604</v>
      </c>
      <c r="M2236" s="132" t="s">
        <v>5976</v>
      </c>
      <c r="N2236" s="132" t="s">
        <v>1112</v>
      </c>
      <c r="O2236" s="132" t="s">
        <v>5977</v>
      </c>
      <c r="P2236" s="132" t="s">
        <v>5607</v>
      </c>
      <c r="Q2236" s="132" t="s">
        <v>1108</v>
      </c>
    </row>
    <row r="2237" spans="1:17" x14ac:dyDescent="0.2">
      <c r="A2237" t="s">
        <v>293</v>
      </c>
      <c r="B2237" s="141">
        <f t="shared" si="36"/>
        <v>53.32</v>
      </c>
      <c r="C2237" s="280">
        <v>45904</v>
      </c>
      <c r="D2237" s="279">
        <v>45908</v>
      </c>
      <c r="E2237" s="279">
        <v>45908</v>
      </c>
      <c r="F2237" s="132"/>
      <c r="G2237" s="132" t="s">
        <v>1108</v>
      </c>
      <c r="H2237" s="132" t="s">
        <v>373</v>
      </c>
      <c r="I2237" s="132" t="s">
        <v>1100</v>
      </c>
      <c r="J2237" s="132" t="s">
        <v>5602</v>
      </c>
      <c r="K2237" s="132" t="s">
        <v>5603</v>
      </c>
      <c r="L2237" s="132" t="s">
        <v>5604</v>
      </c>
      <c r="M2237" s="132" t="s">
        <v>5978</v>
      </c>
      <c r="N2237" s="132" t="s">
        <v>1112</v>
      </c>
      <c r="O2237" s="132" t="s">
        <v>5979</v>
      </c>
      <c r="P2237" s="132" t="s">
        <v>5607</v>
      </c>
      <c r="Q2237" s="132" t="s">
        <v>1108</v>
      </c>
    </row>
    <row r="2238" spans="1:17" x14ac:dyDescent="0.2">
      <c r="A2238" t="s">
        <v>293</v>
      </c>
      <c r="B2238" s="141">
        <f t="shared" si="36"/>
        <v>53.32</v>
      </c>
      <c r="C2238" s="280">
        <v>45904</v>
      </c>
      <c r="D2238" s="279">
        <v>45908</v>
      </c>
      <c r="E2238" s="279">
        <v>45908</v>
      </c>
      <c r="F2238" s="132"/>
      <c r="G2238" s="132" t="s">
        <v>1108</v>
      </c>
      <c r="H2238" s="132" t="s">
        <v>373</v>
      </c>
      <c r="I2238" s="132" t="s">
        <v>1100</v>
      </c>
      <c r="J2238" s="132" t="s">
        <v>5602</v>
      </c>
      <c r="K2238" s="132" t="s">
        <v>5603</v>
      </c>
      <c r="L2238" s="132" t="s">
        <v>5604</v>
      </c>
      <c r="M2238" s="132" t="s">
        <v>5980</v>
      </c>
      <c r="N2238" s="132" t="s">
        <v>1112</v>
      </c>
      <c r="O2238" s="132" t="s">
        <v>5981</v>
      </c>
      <c r="P2238" s="132" t="s">
        <v>5607</v>
      </c>
      <c r="Q2238" s="132" t="s">
        <v>1108</v>
      </c>
    </row>
    <row r="2239" spans="1:17" x14ac:dyDescent="0.2">
      <c r="A2239" t="s">
        <v>293</v>
      </c>
      <c r="B2239" s="141">
        <f t="shared" si="36"/>
        <v>53.32</v>
      </c>
      <c r="C2239" s="280">
        <v>45904</v>
      </c>
      <c r="D2239" s="279">
        <v>45908</v>
      </c>
      <c r="E2239" s="279">
        <v>45908</v>
      </c>
      <c r="F2239" s="132"/>
      <c r="G2239" s="132" t="s">
        <v>1108</v>
      </c>
      <c r="H2239" s="132" t="s">
        <v>373</v>
      </c>
      <c r="I2239" s="132" t="s">
        <v>1100</v>
      </c>
      <c r="J2239" s="132" t="s">
        <v>5602</v>
      </c>
      <c r="K2239" s="132" t="s">
        <v>5603</v>
      </c>
      <c r="L2239" s="132" t="s">
        <v>5604</v>
      </c>
      <c r="M2239" s="132" t="s">
        <v>5982</v>
      </c>
      <c r="N2239" s="132" t="s">
        <v>1112</v>
      </c>
      <c r="O2239" s="132" t="s">
        <v>5983</v>
      </c>
      <c r="P2239" s="132" t="s">
        <v>5607</v>
      </c>
      <c r="Q2239" s="132" t="s">
        <v>1108</v>
      </c>
    </row>
    <row r="2240" spans="1:17" x14ac:dyDescent="0.2">
      <c r="A2240" t="s">
        <v>293</v>
      </c>
      <c r="B2240" s="141">
        <f t="shared" si="36"/>
        <v>53.32</v>
      </c>
      <c r="C2240" s="280">
        <v>45904</v>
      </c>
      <c r="D2240" s="279">
        <v>45908</v>
      </c>
      <c r="E2240" s="279">
        <v>45908</v>
      </c>
      <c r="F2240" s="132"/>
      <c r="G2240" s="132" t="s">
        <v>1108</v>
      </c>
      <c r="H2240" s="132" t="s">
        <v>373</v>
      </c>
      <c r="I2240" s="132" t="s">
        <v>1100</v>
      </c>
      <c r="J2240" s="132" t="s">
        <v>5602</v>
      </c>
      <c r="K2240" s="132" t="s">
        <v>5603</v>
      </c>
      <c r="L2240" s="132" t="s">
        <v>5604</v>
      </c>
      <c r="M2240" s="132" t="s">
        <v>5984</v>
      </c>
      <c r="N2240" s="132" t="s">
        <v>1112</v>
      </c>
      <c r="O2240" s="132" t="s">
        <v>5985</v>
      </c>
      <c r="P2240" s="132" t="s">
        <v>5607</v>
      </c>
      <c r="Q2240" s="132" t="s">
        <v>1108</v>
      </c>
    </row>
    <row r="2241" spans="1:17" x14ac:dyDescent="0.2">
      <c r="A2241" t="s">
        <v>293</v>
      </c>
      <c r="B2241" s="141">
        <f t="shared" si="36"/>
        <v>53.32</v>
      </c>
      <c r="C2241" s="280">
        <v>45904</v>
      </c>
      <c r="D2241" s="279">
        <v>45908</v>
      </c>
      <c r="E2241" s="279">
        <v>45908</v>
      </c>
      <c r="F2241" s="132"/>
      <c r="G2241" s="132" t="s">
        <v>1108</v>
      </c>
      <c r="H2241" s="132" t="s">
        <v>373</v>
      </c>
      <c r="I2241" s="132" t="s">
        <v>1100</v>
      </c>
      <c r="J2241" s="132" t="s">
        <v>5602</v>
      </c>
      <c r="K2241" s="132" t="s">
        <v>5603</v>
      </c>
      <c r="L2241" s="132" t="s">
        <v>5604</v>
      </c>
      <c r="M2241" s="132" t="s">
        <v>5986</v>
      </c>
      <c r="N2241" s="132" t="s">
        <v>1112</v>
      </c>
      <c r="O2241" s="132" t="s">
        <v>5987</v>
      </c>
      <c r="P2241" s="132" t="s">
        <v>5607</v>
      </c>
      <c r="Q2241" s="132" t="s">
        <v>1108</v>
      </c>
    </row>
    <row r="2242" spans="1:17" x14ac:dyDescent="0.2">
      <c r="A2242" t="s">
        <v>293</v>
      </c>
      <c r="B2242" s="141">
        <f t="shared" si="36"/>
        <v>53.65</v>
      </c>
      <c r="C2242" s="280">
        <v>45904</v>
      </c>
      <c r="D2242" s="279">
        <v>45908</v>
      </c>
      <c r="E2242" s="279">
        <v>45908</v>
      </c>
      <c r="F2242" s="132"/>
      <c r="G2242" s="132" t="s">
        <v>1108</v>
      </c>
      <c r="H2242" s="132" t="s">
        <v>373</v>
      </c>
      <c r="I2242" s="132" t="s">
        <v>1100</v>
      </c>
      <c r="J2242" s="132" t="s">
        <v>5602</v>
      </c>
      <c r="K2242" s="132" t="s">
        <v>5608</v>
      </c>
      <c r="L2242" s="132" t="s">
        <v>5609</v>
      </c>
      <c r="M2242" s="132" t="s">
        <v>5988</v>
      </c>
      <c r="N2242" s="132" t="s">
        <v>1117</v>
      </c>
      <c r="O2242" s="132" t="s">
        <v>5989</v>
      </c>
      <c r="P2242" s="132" t="s">
        <v>5607</v>
      </c>
      <c r="Q2242" s="132" t="s">
        <v>1108</v>
      </c>
    </row>
    <row r="2243" spans="1:17" x14ac:dyDescent="0.2">
      <c r="A2243" t="s">
        <v>293</v>
      </c>
      <c r="B2243" s="141">
        <f t="shared" si="36"/>
        <v>53.32</v>
      </c>
      <c r="C2243" s="280">
        <v>45904</v>
      </c>
      <c r="D2243" s="279">
        <v>45908</v>
      </c>
      <c r="E2243" s="279">
        <v>45908</v>
      </c>
      <c r="F2243" s="132"/>
      <c r="G2243" s="132" t="s">
        <v>1108</v>
      </c>
      <c r="H2243" s="132" t="s">
        <v>373</v>
      </c>
      <c r="I2243" s="132" t="s">
        <v>1100</v>
      </c>
      <c r="J2243" s="132" t="s">
        <v>5602</v>
      </c>
      <c r="K2243" s="132" t="s">
        <v>5603</v>
      </c>
      <c r="L2243" s="132" t="s">
        <v>5604</v>
      </c>
      <c r="M2243" s="281" t="s">
        <v>5990</v>
      </c>
      <c r="N2243" s="132" t="s">
        <v>1112</v>
      </c>
      <c r="O2243" s="132" t="s">
        <v>5991</v>
      </c>
      <c r="P2243" s="132" t="s">
        <v>5607</v>
      </c>
      <c r="Q2243" s="132" t="s">
        <v>1108</v>
      </c>
    </row>
    <row r="2244" spans="1:17" x14ac:dyDescent="0.2">
      <c r="A2244" t="s">
        <v>293</v>
      </c>
      <c r="B2244" s="141">
        <f t="shared" si="36"/>
        <v>53.32</v>
      </c>
      <c r="C2244" s="280">
        <v>45904</v>
      </c>
      <c r="D2244" s="279">
        <v>45908</v>
      </c>
      <c r="E2244" s="279">
        <v>45908</v>
      </c>
      <c r="F2244" s="132"/>
      <c r="G2244" s="132" t="s">
        <v>1108</v>
      </c>
      <c r="H2244" s="132" t="s">
        <v>373</v>
      </c>
      <c r="I2244" s="132" t="s">
        <v>1100</v>
      </c>
      <c r="J2244" s="132" t="s">
        <v>5602</v>
      </c>
      <c r="K2244" s="132" t="s">
        <v>5603</v>
      </c>
      <c r="L2244" s="132" t="s">
        <v>5604</v>
      </c>
      <c r="M2244" s="132" t="s">
        <v>5992</v>
      </c>
      <c r="N2244" s="132" t="s">
        <v>1112</v>
      </c>
      <c r="O2244" s="132" t="s">
        <v>5993</v>
      </c>
      <c r="P2244" s="132" t="s">
        <v>5607</v>
      </c>
      <c r="Q2244" s="132" t="s">
        <v>1108</v>
      </c>
    </row>
    <row r="2245" spans="1:17" x14ac:dyDescent="0.2">
      <c r="A2245" t="s">
        <v>81</v>
      </c>
      <c r="B2245" s="141">
        <f t="shared" si="36"/>
        <v>58.56</v>
      </c>
      <c r="C2245" s="280">
        <v>45904</v>
      </c>
      <c r="D2245" s="279">
        <v>45908</v>
      </c>
      <c r="E2245" s="279">
        <v>45908</v>
      </c>
      <c r="F2245" s="132"/>
      <c r="G2245" s="132" t="s">
        <v>5173</v>
      </c>
      <c r="H2245" s="132" t="s">
        <v>373</v>
      </c>
      <c r="I2245" s="132" t="s">
        <v>1100</v>
      </c>
      <c r="J2245" s="132" t="s">
        <v>4623</v>
      </c>
      <c r="K2245" s="132" t="s">
        <v>4672</v>
      </c>
      <c r="L2245" s="132" t="s">
        <v>4673</v>
      </c>
      <c r="M2245" s="132" t="s">
        <v>5994</v>
      </c>
      <c r="N2245" s="132" t="s">
        <v>1105</v>
      </c>
      <c r="O2245" s="132" t="s">
        <v>5995</v>
      </c>
      <c r="P2245" s="132" t="s">
        <v>5607</v>
      </c>
      <c r="Q2245" s="132" t="s">
        <v>1108</v>
      </c>
    </row>
    <row r="2246" spans="1:17" x14ac:dyDescent="0.2">
      <c r="A2246" t="s">
        <v>81</v>
      </c>
      <c r="B2246" s="141">
        <f t="shared" si="36"/>
        <v>58.56</v>
      </c>
      <c r="C2246" s="280">
        <v>45904</v>
      </c>
      <c r="D2246" s="279">
        <v>45908</v>
      </c>
      <c r="E2246" s="279">
        <v>45908</v>
      </c>
      <c r="F2246" s="132"/>
      <c r="G2246" s="132" t="s">
        <v>5996</v>
      </c>
      <c r="H2246" s="132" t="s">
        <v>373</v>
      </c>
      <c r="I2246" s="132" t="s">
        <v>1100</v>
      </c>
      <c r="J2246" s="132" t="s">
        <v>4623</v>
      </c>
      <c r="K2246" s="132" t="s">
        <v>4672</v>
      </c>
      <c r="L2246" s="132" t="s">
        <v>4673</v>
      </c>
      <c r="M2246" s="132" t="s">
        <v>5997</v>
      </c>
      <c r="N2246" s="132" t="s">
        <v>1105</v>
      </c>
      <c r="O2246" s="132" t="s">
        <v>5998</v>
      </c>
      <c r="P2246" s="132" t="s">
        <v>5607</v>
      </c>
      <c r="Q2246" s="132" t="s">
        <v>1108</v>
      </c>
    </row>
    <row r="2247" spans="1:17" x14ac:dyDescent="0.2">
      <c r="A2247" t="s">
        <v>81</v>
      </c>
      <c r="B2247" s="141">
        <f t="shared" si="36"/>
        <v>58.56</v>
      </c>
      <c r="C2247" s="280">
        <v>45904</v>
      </c>
      <c r="D2247" s="279">
        <v>45908</v>
      </c>
      <c r="E2247" s="279">
        <v>45908</v>
      </c>
      <c r="F2247" s="132"/>
      <c r="G2247" s="132" t="s">
        <v>4855</v>
      </c>
      <c r="H2247" s="132" t="s">
        <v>373</v>
      </c>
      <c r="I2247" s="132" t="s">
        <v>1100</v>
      </c>
      <c r="J2247" s="132" t="s">
        <v>4623</v>
      </c>
      <c r="K2247" s="132" t="s">
        <v>4672</v>
      </c>
      <c r="L2247" s="132" t="s">
        <v>4673</v>
      </c>
      <c r="M2247" s="132" t="s">
        <v>5999</v>
      </c>
      <c r="N2247" s="132" t="s">
        <v>1105</v>
      </c>
      <c r="O2247" s="132" t="s">
        <v>6000</v>
      </c>
      <c r="P2247" s="132" t="s">
        <v>5607</v>
      </c>
      <c r="Q2247" s="132" t="s">
        <v>1108</v>
      </c>
    </row>
    <row r="2248" spans="1:17" x14ac:dyDescent="0.2">
      <c r="A2248" t="s">
        <v>81</v>
      </c>
      <c r="B2248" s="141">
        <f t="shared" si="36"/>
        <v>58.56</v>
      </c>
      <c r="C2248" s="280">
        <v>45904</v>
      </c>
      <c r="D2248" s="279">
        <v>45908</v>
      </c>
      <c r="E2248" s="279">
        <v>45908</v>
      </c>
      <c r="F2248" s="132"/>
      <c r="G2248" s="132" t="s">
        <v>5493</v>
      </c>
      <c r="H2248" s="132" t="s">
        <v>373</v>
      </c>
      <c r="I2248" s="132" t="s">
        <v>1100</v>
      </c>
      <c r="J2248" s="132" t="s">
        <v>4623</v>
      </c>
      <c r="K2248" s="132" t="s">
        <v>4672</v>
      </c>
      <c r="L2248" s="132" t="s">
        <v>4673</v>
      </c>
      <c r="M2248" s="132" t="s">
        <v>6001</v>
      </c>
      <c r="N2248" s="132" t="s">
        <v>1105</v>
      </c>
      <c r="O2248" s="132" t="s">
        <v>6002</v>
      </c>
      <c r="P2248" s="132" t="s">
        <v>5607</v>
      </c>
      <c r="Q2248" s="132" t="s">
        <v>1108</v>
      </c>
    </row>
    <row r="2249" spans="1:17" x14ac:dyDescent="0.2">
      <c r="A2249" t="s">
        <v>81</v>
      </c>
      <c r="B2249" s="141">
        <f t="shared" si="36"/>
        <v>58.56</v>
      </c>
      <c r="C2249" s="280">
        <v>45904</v>
      </c>
      <c r="D2249" s="279">
        <v>45908</v>
      </c>
      <c r="E2249" s="279">
        <v>45908</v>
      </c>
      <c r="F2249" s="132"/>
      <c r="G2249" s="132" t="s">
        <v>4798</v>
      </c>
      <c r="H2249" s="132" t="s">
        <v>373</v>
      </c>
      <c r="I2249" s="132" t="s">
        <v>1100</v>
      </c>
      <c r="J2249" s="132" t="s">
        <v>4623</v>
      </c>
      <c r="K2249" s="132" t="s">
        <v>4672</v>
      </c>
      <c r="L2249" s="132" t="s">
        <v>4673</v>
      </c>
      <c r="M2249" s="132" t="s">
        <v>6003</v>
      </c>
      <c r="N2249" s="132" t="s">
        <v>1105</v>
      </c>
      <c r="O2249" s="132" t="s">
        <v>6004</v>
      </c>
      <c r="P2249" s="132" t="s">
        <v>5607</v>
      </c>
      <c r="Q2249" s="132" t="s">
        <v>1108</v>
      </c>
    </row>
    <row r="2250" spans="1:17" x14ac:dyDescent="0.2">
      <c r="A2250" t="s">
        <v>81</v>
      </c>
      <c r="B2250" s="141">
        <f t="shared" si="36"/>
        <v>58.2</v>
      </c>
      <c r="C2250" s="280">
        <v>45904</v>
      </c>
      <c r="D2250" s="279">
        <v>45908</v>
      </c>
      <c r="E2250" s="279">
        <v>45908</v>
      </c>
      <c r="F2250" s="132"/>
      <c r="G2250" s="132" t="s">
        <v>1108</v>
      </c>
      <c r="H2250" s="132" t="s">
        <v>373</v>
      </c>
      <c r="I2250" s="132" t="s">
        <v>1100</v>
      </c>
      <c r="J2250" s="132" t="s">
        <v>4623</v>
      </c>
      <c r="K2250" s="132" t="s">
        <v>4624</v>
      </c>
      <c r="L2250" s="132" t="s">
        <v>4625</v>
      </c>
      <c r="M2250" s="132" t="s">
        <v>6005</v>
      </c>
      <c r="N2250" s="132" t="s">
        <v>1112</v>
      </c>
      <c r="O2250" s="132" t="s">
        <v>6006</v>
      </c>
      <c r="P2250" s="132" t="s">
        <v>5607</v>
      </c>
      <c r="Q2250" s="132" t="s">
        <v>1108</v>
      </c>
    </row>
    <row r="2251" spans="1:17" x14ac:dyDescent="0.2">
      <c r="A2251" t="s">
        <v>81</v>
      </c>
      <c r="B2251" s="141">
        <f t="shared" si="36"/>
        <v>58.2</v>
      </c>
      <c r="C2251" s="280">
        <v>45904</v>
      </c>
      <c r="D2251" s="279">
        <v>45908</v>
      </c>
      <c r="E2251" s="279">
        <v>45908</v>
      </c>
      <c r="F2251" s="132"/>
      <c r="G2251" s="132" t="s">
        <v>1108</v>
      </c>
      <c r="H2251" s="132" t="s">
        <v>373</v>
      </c>
      <c r="I2251" s="132" t="s">
        <v>1100</v>
      </c>
      <c r="J2251" s="132" t="s">
        <v>4623</v>
      </c>
      <c r="K2251" s="132" t="s">
        <v>4624</v>
      </c>
      <c r="L2251" s="132" t="s">
        <v>4625</v>
      </c>
      <c r="M2251" s="132" t="s">
        <v>6007</v>
      </c>
      <c r="N2251" s="132" t="s">
        <v>1112</v>
      </c>
      <c r="O2251" s="132" t="s">
        <v>6008</v>
      </c>
      <c r="P2251" s="132" t="s">
        <v>5607</v>
      </c>
      <c r="Q2251" s="132" t="s">
        <v>1108</v>
      </c>
    </row>
    <row r="2252" spans="1:17" x14ac:dyDescent="0.2">
      <c r="A2252" t="s">
        <v>81</v>
      </c>
      <c r="B2252" s="141">
        <f t="shared" si="36"/>
        <v>58.56</v>
      </c>
      <c r="C2252" s="280">
        <v>45904</v>
      </c>
      <c r="D2252" s="279">
        <v>45908</v>
      </c>
      <c r="E2252" s="279">
        <v>45908</v>
      </c>
      <c r="F2252" s="132"/>
      <c r="G2252" s="132" t="s">
        <v>6009</v>
      </c>
      <c r="H2252" s="132" t="s">
        <v>373</v>
      </c>
      <c r="I2252" s="132" t="s">
        <v>1100</v>
      </c>
      <c r="J2252" s="132" t="s">
        <v>4623</v>
      </c>
      <c r="K2252" s="132" t="s">
        <v>4672</v>
      </c>
      <c r="L2252" s="132" t="s">
        <v>4673</v>
      </c>
      <c r="M2252" s="132" t="s">
        <v>6010</v>
      </c>
      <c r="N2252" s="132" t="s">
        <v>1105</v>
      </c>
      <c r="O2252" s="132" t="s">
        <v>6011</v>
      </c>
      <c r="P2252" s="132" t="s">
        <v>5607</v>
      </c>
      <c r="Q2252" s="132" t="s">
        <v>1108</v>
      </c>
    </row>
    <row r="2253" spans="1:17" x14ac:dyDescent="0.2">
      <c r="A2253" t="s">
        <v>81</v>
      </c>
      <c r="B2253" s="141">
        <f t="shared" si="36"/>
        <v>57.84</v>
      </c>
      <c r="C2253" s="280">
        <v>45904</v>
      </c>
      <c r="D2253" s="279">
        <v>45908</v>
      </c>
      <c r="E2253" s="279">
        <v>45908</v>
      </c>
      <c r="F2253" s="132"/>
      <c r="G2253" s="132" t="s">
        <v>6012</v>
      </c>
      <c r="H2253" s="132" t="s">
        <v>373</v>
      </c>
      <c r="I2253" s="132" t="s">
        <v>1100</v>
      </c>
      <c r="J2253" s="132" t="s">
        <v>4623</v>
      </c>
      <c r="K2253" s="132" t="s">
        <v>1414</v>
      </c>
      <c r="L2253" s="132" t="s">
        <v>4980</v>
      </c>
      <c r="M2253" s="132" t="s">
        <v>6013</v>
      </c>
      <c r="N2253" s="132" t="s">
        <v>1105</v>
      </c>
      <c r="O2253" s="132" t="s">
        <v>6014</v>
      </c>
      <c r="P2253" s="132" t="s">
        <v>5607</v>
      </c>
      <c r="Q2253" s="132" t="s">
        <v>1108</v>
      </c>
    </row>
    <row r="2254" spans="1:17" x14ac:dyDescent="0.2">
      <c r="A2254" t="s">
        <v>81</v>
      </c>
      <c r="B2254" s="141">
        <f t="shared" si="36"/>
        <v>58.56</v>
      </c>
      <c r="C2254" s="280">
        <v>45904</v>
      </c>
      <c r="D2254" s="279">
        <v>45908</v>
      </c>
      <c r="E2254" s="279">
        <v>45908</v>
      </c>
      <c r="F2254" s="132"/>
      <c r="G2254" s="132" t="s">
        <v>4907</v>
      </c>
      <c r="H2254" s="132" t="s">
        <v>373</v>
      </c>
      <c r="I2254" s="132" t="s">
        <v>1100</v>
      </c>
      <c r="J2254" s="132" t="s">
        <v>4623</v>
      </c>
      <c r="K2254" s="132" t="s">
        <v>4672</v>
      </c>
      <c r="L2254" s="132" t="s">
        <v>4673</v>
      </c>
      <c r="M2254" s="132" t="s">
        <v>6015</v>
      </c>
      <c r="N2254" s="132" t="s">
        <v>1105</v>
      </c>
      <c r="O2254" s="132" t="s">
        <v>6016</v>
      </c>
      <c r="P2254" s="132" t="s">
        <v>5607</v>
      </c>
      <c r="Q2254" s="132" t="s">
        <v>1108</v>
      </c>
    </row>
    <row r="2255" spans="1:17" x14ac:dyDescent="0.2">
      <c r="A2255" t="s">
        <v>81</v>
      </c>
      <c r="B2255" s="141">
        <f t="shared" si="36"/>
        <v>58.56</v>
      </c>
      <c r="C2255" s="280">
        <v>45904</v>
      </c>
      <c r="D2255" s="279">
        <v>45908</v>
      </c>
      <c r="E2255" s="279">
        <v>45908</v>
      </c>
      <c r="F2255" s="132"/>
      <c r="G2255" s="132" t="s">
        <v>4771</v>
      </c>
      <c r="H2255" s="132" t="s">
        <v>373</v>
      </c>
      <c r="I2255" s="132" t="s">
        <v>1100</v>
      </c>
      <c r="J2255" s="132" t="s">
        <v>4623</v>
      </c>
      <c r="K2255" s="132" t="s">
        <v>4672</v>
      </c>
      <c r="L2255" s="132" t="s">
        <v>4673</v>
      </c>
      <c r="M2255" s="132" t="s">
        <v>6017</v>
      </c>
      <c r="N2255" s="132" t="s">
        <v>1105</v>
      </c>
      <c r="O2255" s="132" t="s">
        <v>6018</v>
      </c>
      <c r="P2255" s="132" t="s">
        <v>5607</v>
      </c>
      <c r="Q2255" s="132" t="s">
        <v>1108</v>
      </c>
    </row>
    <row r="2256" spans="1:17" x14ac:dyDescent="0.2">
      <c r="A2256" t="s">
        <v>81</v>
      </c>
      <c r="B2256" s="141">
        <f t="shared" si="36"/>
        <v>58.56</v>
      </c>
      <c r="C2256" s="280">
        <v>45904</v>
      </c>
      <c r="D2256" s="279">
        <v>45908</v>
      </c>
      <c r="E2256" s="279">
        <v>45908</v>
      </c>
      <c r="F2256" s="132"/>
      <c r="G2256" s="132" t="s">
        <v>4866</v>
      </c>
      <c r="H2256" s="132" t="s">
        <v>373</v>
      </c>
      <c r="I2256" s="132" t="s">
        <v>1100</v>
      </c>
      <c r="J2256" s="132" t="s">
        <v>4623</v>
      </c>
      <c r="K2256" s="132" t="s">
        <v>4672</v>
      </c>
      <c r="L2256" s="132" t="s">
        <v>4673</v>
      </c>
      <c r="M2256" s="132" t="s">
        <v>6019</v>
      </c>
      <c r="N2256" s="132" t="s">
        <v>1105</v>
      </c>
      <c r="O2256" s="132" t="s">
        <v>6020</v>
      </c>
      <c r="P2256" s="132" t="s">
        <v>5607</v>
      </c>
      <c r="Q2256" s="132" t="s">
        <v>1108</v>
      </c>
    </row>
    <row r="2257" spans="1:17" x14ac:dyDescent="0.2">
      <c r="A2257" t="s">
        <v>81</v>
      </c>
      <c r="B2257" s="141">
        <f t="shared" si="36"/>
        <v>58.56</v>
      </c>
      <c r="C2257" s="280">
        <v>45904</v>
      </c>
      <c r="D2257" s="279">
        <v>45908</v>
      </c>
      <c r="E2257" s="279">
        <v>45908</v>
      </c>
      <c r="F2257" s="132"/>
      <c r="G2257" s="132" t="s">
        <v>4662</v>
      </c>
      <c r="H2257" s="132" t="s">
        <v>373</v>
      </c>
      <c r="I2257" s="132" t="s">
        <v>1100</v>
      </c>
      <c r="J2257" s="132" t="s">
        <v>4623</v>
      </c>
      <c r="K2257" s="132" t="s">
        <v>4672</v>
      </c>
      <c r="L2257" s="132" t="s">
        <v>4673</v>
      </c>
      <c r="M2257" s="132" t="s">
        <v>6021</v>
      </c>
      <c r="N2257" s="132" t="s">
        <v>1105</v>
      </c>
      <c r="O2257" s="132" t="s">
        <v>6022</v>
      </c>
      <c r="P2257" s="132" t="s">
        <v>5607</v>
      </c>
      <c r="Q2257" s="132" t="s">
        <v>1108</v>
      </c>
    </row>
    <row r="2258" spans="1:17" x14ac:dyDescent="0.2">
      <c r="A2258" t="s">
        <v>81</v>
      </c>
      <c r="B2258" s="141">
        <f t="shared" si="36"/>
        <v>58.56</v>
      </c>
      <c r="C2258" s="280">
        <v>45904</v>
      </c>
      <c r="D2258" s="279">
        <v>45908</v>
      </c>
      <c r="E2258" s="279">
        <v>45908</v>
      </c>
      <c r="F2258" s="132"/>
      <c r="G2258" s="132" t="s">
        <v>4699</v>
      </c>
      <c r="H2258" s="132" t="s">
        <v>373</v>
      </c>
      <c r="I2258" s="132" t="s">
        <v>1100</v>
      </c>
      <c r="J2258" s="132" t="s">
        <v>4623</v>
      </c>
      <c r="K2258" s="132" t="s">
        <v>4672</v>
      </c>
      <c r="L2258" s="132" t="s">
        <v>4673</v>
      </c>
      <c r="M2258" s="132" t="s">
        <v>6023</v>
      </c>
      <c r="N2258" s="132" t="s">
        <v>1105</v>
      </c>
      <c r="O2258" s="132" t="s">
        <v>6024</v>
      </c>
      <c r="P2258" s="132" t="s">
        <v>5607</v>
      </c>
      <c r="Q2258" s="132" t="s">
        <v>1108</v>
      </c>
    </row>
    <row r="2259" spans="1:17" x14ac:dyDescent="0.2">
      <c r="A2259" t="s">
        <v>81</v>
      </c>
      <c r="B2259" s="141">
        <f t="shared" si="36"/>
        <v>58.56</v>
      </c>
      <c r="C2259" s="280">
        <v>45904</v>
      </c>
      <c r="D2259" s="279">
        <v>45908</v>
      </c>
      <c r="E2259" s="279">
        <v>45908</v>
      </c>
      <c r="F2259" s="132"/>
      <c r="G2259" s="132" t="s">
        <v>5788</v>
      </c>
      <c r="H2259" s="132" t="s">
        <v>373</v>
      </c>
      <c r="I2259" s="132" t="s">
        <v>1100</v>
      </c>
      <c r="J2259" s="132" t="s">
        <v>4623</v>
      </c>
      <c r="K2259" s="132" t="s">
        <v>4672</v>
      </c>
      <c r="L2259" s="132" t="s">
        <v>4673</v>
      </c>
      <c r="M2259" s="132" t="s">
        <v>6025</v>
      </c>
      <c r="N2259" s="132" t="s">
        <v>1105</v>
      </c>
      <c r="O2259" s="132" t="s">
        <v>6026</v>
      </c>
      <c r="P2259" s="132" t="s">
        <v>5607</v>
      </c>
      <c r="Q2259" s="132" t="s">
        <v>1108</v>
      </c>
    </row>
    <row r="2260" spans="1:17" x14ac:dyDescent="0.2">
      <c r="A2260" t="s">
        <v>81</v>
      </c>
      <c r="B2260" s="141">
        <f t="shared" si="36"/>
        <v>58.56</v>
      </c>
      <c r="C2260" s="280">
        <v>45904</v>
      </c>
      <c r="D2260" s="279">
        <v>45908</v>
      </c>
      <c r="E2260" s="279">
        <v>45908</v>
      </c>
      <c r="F2260" s="132"/>
      <c r="G2260" s="132" t="s">
        <v>5049</v>
      </c>
      <c r="H2260" s="132" t="s">
        <v>373</v>
      </c>
      <c r="I2260" s="132" t="s">
        <v>1100</v>
      </c>
      <c r="J2260" s="132" t="s">
        <v>4623</v>
      </c>
      <c r="K2260" s="132" t="s">
        <v>4672</v>
      </c>
      <c r="L2260" s="132" t="s">
        <v>4673</v>
      </c>
      <c r="M2260" s="132" t="s">
        <v>6027</v>
      </c>
      <c r="N2260" s="132" t="s">
        <v>1105</v>
      </c>
      <c r="O2260" s="132" t="s">
        <v>6028</v>
      </c>
      <c r="P2260" s="132" t="s">
        <v>5607</v>
      </c>
      <c r="Q2260" s="132" t="s">
        <v>1108</v>
      </c>
    </row>
    <row r="2261" spans="1:17" x14ac:dyDescent="0.2">
      <c r="A2261" t="s">
        <v>81</v>
      </c>
      <c r="B2261" s="141">
        <f t="shared" si="36"/>
        <v>58.56</v>
      </c>
      <c r="C2261" s="280">
        <v>45904</v>
      </c>
      <c r="D2261" s="279">
        <v>45908</v>
      </c>
      <c r="E2261" s="279">
        <v>45908</v>
      </c>
      <c r="F2261" s="132"/>
      <c r="G2261" s="132" t="s">
        <v>5796</v>
      </c>
      <c r="H2261" s="132" t="s">
        <v>373</v>
      </c>
      <c r="I2261" s="132" t="s">
        <v>1100</v>
      </c>
      <c r="J2261" s="132" t="s">
        <v>4623</v>
      </c>
      <c r="K2261" s="132" t="s">
        <v>4672</v>
      </c>
      <c r="L2261" s="132" t="s">
        <v>4673</v>
      </c>
      <c r="M2261" s="132" t="s">
        <v>6029</v>
      </c>
      <c r="N2261" s="132" t="s">
        <v>1105</v>
      </c>
      <c r="O2261" s="132" t="s">
        <v>6030</v>
      </c>
      <c r="P2261" s="132" t="s">
        <v>5607</v>
      </c>
      <c r="Q2261" s="132" t="s">
        <v>1108</v>
      </c>
    </row>
    <row r="2262" spans="1:17" x14ac:dyDescent="0.2">
      <c r="A2262" t="s">
        <v>81</v>
      </c>
      <c r="B2262" s="141">
        <f t="shared" si="36"/>
        <v>58.56</v>
      </c>
      <c r="C2262" s="280">
        <v>45904</v>
      </c>
      <c r="D2262" s="279">
        <v>45908</v>
      </c>
      <c r="E2262" s="279">
        <v>45908</v>
      </c>
      <c r="F2262" s="132"/>
      <c r="G2262" s="132" t="s">
        <v>6031</v>
      </c>
      <c r="H2262" s="132" t="s">
        <v>373</v>
      </c>
      <c r="I2262" s="132" t="s">
        <v>1100</v>
      </c>
      <c r="J2262" s="132" t="s">
        <v>4623</v>
      </c>
      <c r="K2262" s="132" t="s">
        <v>4672</v>
      </c>
      <c r="L2262" s="132" t="s">
        <v>4673</v>
      </c>
      <c r="M2262" s="132" t="s">
        <v>6032</v>
      </c>
      <c r="N2262" s="132" t="s">
        <v>1105</v>
      </c>
      <c r="O2262" s="132" t="s">
        <v>6033</v>
      </c>
      <c r="P2262" s="132" t="s">
        <v>5607</v>
      </c>
      <c r="Q2262" s="132" t="s">
        <v>1108</v>
      </c>
    </row>
    <row r="2263" spans="1:17" x14ac:dyDescent="0.2">
      <c r="A2263" t="s">
        <v>81</v>
      </c>
      <c r="B2263" s="141">
        <f t="shared" si="36"/>
        <v>58.56</v>
      </c>
      <c r="C2263" s="280">
        <v>45904</v>
      </c>
      <c r="D2263" s="279">
        <v>45908</v>
      </c>
      <c r="E2263" s="279">
        <v>45908</v>
      </c>
      <c r="F2263" s="132"/>
      <c r="G2263" s="132" t="s">
        <v>6034</v>
      </c>
      <c r="H2263" s="132" t="s">
        <v>373</v>
      </c>
      <c r="I2263" s="132" t="s">
        <v>1100</v>
      </c>
      <c r="J2263" s="132" t="s">
        <v>4623</v>
      </c>
      <c r="K2263" s="132" t="s">
        <v>4672</v>
      </c>
      <c r="L2263" s="132" t="s">
        <v>4673</v>
      </c>
      <c r="M2263" s="132" t="s">
        <v>6035</v>
      </c>
      <c r="N2263" s="132" t="s">
        <v>1105</v>
      </c>
      <c r="O2263" s="132" t="s">
        <v>6036</v>
      </c>
      <c r="P2263" s="132" t="s">
        <v>5607</v>
      </c>
      <c r="Q2263" s="132" t="s">
        <v>1108</v>
      </c>
    </row>
    <row r="2264" spans="1:17" x14ac:dyDescent="0.2">
      <c r="A2264" t="s">
        <v>81</v>
      </c>
      <c r="B2264" s="141">
        <f t="shared" si="36"/>
        <v>58.2</v>
      </c>
      <c r="C2264" s="280">
        <v>45904</v>
      </c>
      <c r="D2264" s="279">
        <v>45908</v>
      </c>
      <c r="E2264" s="279">
        <v>45908</v>
      </c>
      <c r="F2264" s="132"/>
      <c r="G2264" s="132" t="s">
        <v>1108</v>
      </c>
      <c r="H2264" s="132" t="s">
        <v>373</v>
      </c>
      <c r="I2264" s="132" t="s">
        <v>1100</v>
      </c>
      <c r="J2264" s="132" t="s">
        <v>4623</v>
      </c>
      <c r="K2264" s="132" t="s">
        <v>4624</v>
      </c>
      <c r="L2264" s="132" t="s">
        <v>4625</v>
      </c>
      <c r="M2264" s="132" t="s">
        <v>6037</v>
      </c>
      <c r="N2264" s="132" t="s">
        <v>1112</v>
      </c>
      <c r="O2264" s="132" t="s">
        <v>6038</v>
      </c>
      <c r="P2264" s="132" t="s">
        <v>5607</v>
      </c>
      <c r="Q2264" s="132" t="s">
        <v>1108</v>
      </c>
    </row>
    <row r="2265" spans="1:17" x14ac:dyDescent="0.2">
      <c r="A2265" t="s">
        <v>81</v>
      </c>
      <c r="B2265" s="141">
        <f t="shared" si="36"/>
        <v>58.2</v>
      </c>
      <c r="C2265" s="280">
        <v>45904</v>
      </c>
      <c r="D2265" s="279">
        <v>45908</v>
      </c>
      <c r="E2265" s="279">
        <v>45908</v>
      </c>
      <c r="F2265" s="132"/>
      <c r="G2265" s="132" t="s">
        <v>1108</v>
      </c>
      <c r="H2265" s="132" t="s">
        <v>373</v>
      </c>
      <c r="I2265" s="132" t="s">
        <v>1100</v>
      </c>
      <c r="J2265" s="132" t="s">
        <v>4623</v>
      </c>
      <c r="K2265" s="132" t="s">
        <v>4624</v>
      </c>
      <c r="L2265" s="132" t="s">
        <v>4625</v>
      </c>
      <c r="M2265" s="132" t="s">
        <v>6039</v>
      </c>
      <c r="N2265" s="132" t="s">
        <v>1112</v>
      </c>
      <c r="O2265" s="132" t="s">
        <v>6040</v>
      </c>
      <c r="P2265" s="132" t="s">
        <v>5607</v>
      </c>
      <c r="Q2265" s="132" t="s">
        <v>1108</v>
      </c>
    </row>
    <row r="2266" spans="1:17" x14ac:dyDescent="0.2">
      <c r="A2266" t="s">
        <v>81</v>
      </c>
      <c r="B2266" s="141">
        <f t="shared" si="36"/>
        <v>58.56</v>
      </c>
      <c r="C2266" s="280">
        <v>45904</v>
      </c>
      <c r="D2266" s="279">
        <v>45908</v>
      </c>
      <c r="E2266" s="279">
        <v>45908</v>
      </c>
      <c r="F2266" s="132"/>
      <c r="G2266" s="132" t="s">
        <v>4916</v>
      </c>
      <c r="H2266" s="132" t="s">
        <v>373</v>
      </c>
      <c r="I2266" s="132" t="s">
        <v>1100</v>
      </c>
      <c r="J2266" s="132" t="s">
        <v>4623</v>
      </c>
      <c r="K2266" s="132" t="s">
        <v>4672</v>
      </c>
      <c r="L2266" s="132" t="s">
        <v>4673</v>
      </c>
      <c r="M2266" s="132" t="s">
        <v>6041</v>
      </c>
      <c r="N2266" s="132" t="s">
        <v>1105</v>
      </c>
      <c r="O2266" s="132" t="s">
        <v>6042</v>
      </c>
      <c r="P2266" s="132" t="s">
        <v>5607</v>
      </c>
      <c r="Q2266" s="132" t="s">
        <v>1108</v>
      </c>
    </row>
    <row r="2267" spans="1:17" x14ac:dyDescent="0.2">
      <c r="A2267" t="s">
        <v>81</v>
      </c>
      <c r="B2267" s="141">
        <f t="shared" si="36"/>
        <v>58.56</v>
      </c>
      <c r="C2267" s="280">
        <v>45904</v>
      </c>
      <c r="D2267" s="279">
        <v>45908</v>
      </c>
      <c r="E2267" s="279">
        <v>45908</v>
      </c>
      <c r="F2267" s="132"/>
      <c r="G2267" s="132" t="s">
        <v>5761</v>
      </c>
      <c r="H2267" s="132" t="s">
        <v>373</v>
      </c>
      <c r="I2267" s="132" t="s">
        <v>1100</v>
      </c>
      <c r="J2267" s="132" t="s">
        <v>4623</v>
      </c>
      <c r="K2267" s="132" t="s">
        <v>4672</v>
      </c>
      <c r="L2267" s="132" t="s">
        <v>4673</v>
      </c>
      <c r="M2267" s="132" t="s">
        <v>6043</v>
      </c>
      <c r="N2267" s="132" t="s">
        <v>1105</v>
      </c>
      <c r="O2267" s="132" t="s">
        <v>6044</v>
      </c>
      <c r="P2267" s="132" t="s">
        <v>5607</v>
      </c>
      <c r="Q2267" s="132" t="s">
        <v>1108</v>
      </c>
    </row>
    <row r="2268" spans="1:17" x14ac:dyDescent="0.2">
      <c r="A2268" t="s">
        <v>81</v>
      </c>
      <c r="B2268" s="141">
        <f t="shared" si="36"/>
        <v>58.2</v>
      </c>
      <c r="C2268" s="280">
        <v>45904</v>
      </c>
      <c r="D2268" s="279">
        <v>45908</v>
      </c>
      <c r="E2268" s="279">
        <v>45908</v>
      </c>
      <c r="F2268" s="132"/>
      <c r="G2268" s="132" t="s">
        <v>1108</v>
      </c>
      <c r="H2268" s="132" t="s">
        <v>373</v>
      </c>
      <c r="I2268" s="132" t="s">
        <v>1100</v>
      </c>
      <c r="J2268" s="132" t="s">
        <v>4623</v>
      </c>
      <c r="K2268" s="132" t="s">
        <v>4624</v>
      </c>
      <c r="L2268" s="132" t="s">
        <v>4625</v>
      </c>
      <c r="M2268" s="132" t="s">
        <v>6045</v>
      </c>
      <c r="N2268" s="132" t="s">
        <v>1112</v>
      </c>
      <c r="O2268" s="132" t="s">
        <v>6046</v>
      </c>
      <c r="P2268" s="132" t="s">
        <v>5607</v>
      </c>
      <c r="Q2268" s="132" t="s">
        <v>1108</v>
      </c>
    </row>
    <row r="2269" spans="1:17" x14ac:dyDescent="0.2">
      <c r="A2269" t="s">
        <v>81</v>
      </c>
      <c r="B2269" s="141">
        <f t="shared" si="36"/>
        <v>58.56</v>
      </c>
      <c r="C2269" s="280">
        <v>45904</v>
      </c>
      <c r="D2269" s="279">
        <v>45908</v>
      </c>
      <c r="E2269" s="279">
        <v>45908</v>
      </c>
      <c r="F2269" s="132"/>
      <c r="G2269" s="132" t="s">
        <v>6047</v>
      </c>
      <c r="H2269" s="132" t="s">
        <v>373</v>
      </c>
      <c r="I2269" s="132" t="s">
        <v>1100</v>
      </c>
      <c r="J2269" s="132" t="s">
        <v>4623</v>
      </c>
      <c r="K2269" s="132" t="s">
        <v>4672</v>
      </c>
      <c r="L2269" s="132" t="s">
        <v>4673</v>
      </c>
      <c r="M2269" s="132" t="s">
        <v>6048</v>
      </c>
      <c r="N2269" s="132" t="s">
        <v>1105</v>
      </c>
      <c r="O2269" s="132" t="s">
        <v>6049</v>
      </c>
      <c r="P2269" s="132" t="s">
        <v>5607</v>
      </c>
      <c r="Q2269" s="132" t="s">
        <v>1108</v>
      </c>
    </row>
    <row r="2270" spans="1:17" x14ac:dyDescent="0.2">
      <c r="A2270" t="s">
        <v>81</v>
      </c>
      <c r="B2270" s="141">
        <f t="shared" si="36"/>
        <v>58.56</v>
      </c>
      <c r="C2270" s="280">
        <v>45904</v>
      </c>
      <c r="D2270" s="279">
        <v>45908</v>
      </c>
      <c r="E2270" s="279">
        <v>45908</v>
      </c>
      <c r="F2270" s="132"/>
      <c r="G2270" s="132" t="s">
        <v>4896</v>
      </c>
      <c r="H2270" s="132" t="s">
        <v>373</v>
      </c>
      <c r="I2270" s="132" t="s">
        <v>1100</v>
      </c>
      <c r="J2270" s="132" t="s">
        <v>4623</v>
      </c>
      <c r="K2270" s="132" t="s">
        <v>4672</v>
      </c>
      <c r="L2270" s="132" t="s">
        <v>4673</v>
      </c>
      <c r="M2270" s="132" t="s">
        <v>6050</v>
      </c>
      <c r="N2270" s="132" t="s">
        <v>1105</v>
      </c>
      <c r="O2270" s="132" t="s">
        <v>6051</v>
      </c>
      <c r="P2270" s="132" t="s">
        <v>5607</v>
      </c>
      <c r="Q2270" s="132" t="s">
        <v>1108</v>
      </c>
    </row>
    <row r="2271" spans="1:17" x14ac:dyDescent="0.2">
      <c r="A2271" t="s">
        <v>81</v>
      </c>
      <c r="B2271" s="141">
        <f t="shared" si="36"/>
        <v>58.56</v>
      </c>
      <c r="C2271" s="280">
        <v>45904</v>
      </c>
      <c r="D2271" s="279">
        <v>45908</v>
      </c>
      <c r="E2271" s="279">
        <v>45908</v>
      </c>
      <c r="F2271" s="132"/>
      <c r="G2271" s="132" t="s">
        <v>6052</v>
      </c>
      <c r="H2271" s="132" t="s">
        <v>373</v>
      </c>
      <c r="I2271" s="132" t="s">
        <v>1100</v>
      </c>
      <c r="J2271" s="132" t="s">
        <v>4623</v>
      </c>
      <c r="K2271" s="132" t="s">
        <v>4672</v>
      </c>
      <c r="L2271" s="132" t="s">
        <v>4673</v>
      </c>
      <c r="M2271" s="132" t="s">
        <v>6053</v>
      </c>
      <c r="N2271" s="132" t="s">
        <v>1105</v>
      </c>
      <c r="O2271" s="132" t="s">
        <v>6054</v>
      </c>
      <c r="P2271" s="132" t="s">
        <v>5607</v>
      </c>
      <c r="Q2271" s="132" t="s">
        <v>1108</v>
      </c>
    </row>
    <row r="2272" spans="1:17" x14ac:dyDescent="0.2">
      <c r="A2272" t="s">
        <v>81</v>
      </c>
      <c r="B2272" s="141">
        <f t="shared" si="36"/>
        <v>58.56</v>
      </c>
      <c r="C2272" s="280">
        <v>45904</v>
      </c>
      <c r="D2272" s="279">
        <v>45908</v>
      </c>
      <c r="E2272" s="279">
        <v>45908</v>
      </c>
      <c r="F2272" s="132"/>
      <c r="G2272" s="132" t="s">
        <v>6055</v>
      </c>
      <c r="H2272" s="132" t="s">
        <v>373</v>
      </c>
      <c r="I2272" s="132" t="s">
        <v>1100</v>
      </c>
      <c r="J2272" s="132" t="s">
        <v>4623</v>
      </c>
      <c r="K2272" s="132" t="s">
        <v>4672</v>
      </c>
      <c r="L2272" s="132" t="s">
        <v>4673</v>
      </c>
      <c r="M2272" s="132" t="s">
        <v>6056</v>
      </c>
      <c r="N2272" s="132" t="s">
        <v>1105</v>
      </c>
      <c r="O2272" s="132" t="s">
        <v>6057</v>
      </c>
      <c r="P2272" s="132" t="s">
        <v>5607</v>
      </c>
      <c r="Q2272" s="132" t="s">
        <v>1108</v>
      </c>
    </row>
    <row r="2273" spans="1:17" x14ac:dyDescent="0.2">
      <c r="A2273" t="s">
        <v>81</v>
      </c>
      <c r="B2273" s="141">
        <f t="shared" si="36"/>
        <v>58.2</v>
      </c>
      <c r="C2273" s="280">
        <v>45904</v>
      </c>
      <c r="D2273" s="279">
        <v>45908</v>
      </c>
      <c r="E2273" s="279">
        <v>45908</v>
      </c>
      <c r="F2273" s="132"/>
      <c r="G2273" s="132" t="s">
        <v>1108</v>
      </c>
      <c r="H2273" s="132" t="s">
        <v>373</v>
      </c>
      <c r="I2273" s="132" t="s">
        <v>1100</v>
      </c>
      <c r="J2273" s="132" t="s">
        <v>4623</v>
      </c>
      <c r="K2273" s="132" t="s">
        <v>4624</v>
      </c>
      <c r="L2273" s="132" t="s">
        <v>4625</v>
      </c>
      <c r="M2273" s="132" t="s">
        <v>6058</v>
      </c>
      <c r="N2273" s="132" t="s">
        <v>1112</v>
      </c>
      <c r="O2273" s="132" t="s">
        <v>6059</v>
      </c>
      <c r="P2273" s="132" t="s">
        <v>5607</v>
      </c>
      <c r="Q2273" s="132" t="s">
        <v>1108</v>
      </c>
    </row>
    <row r="2274" spans="1:17" x14ac:dyDescent="0.2">
      <c r="A2274" t="s">
        <v>81</v>
      </c>
      <c r="B2274" s="141">
        <f t="shared" si="36"/>
        <v>58.56</v>
      </c>
      <c r="C2274" s="280">
        <v>45904</v>
      </c>
      <c r="D2274" s="279">
        <v>45908</v>
      </c>
      <c r="E2274" s="279">
        <v>45908</v>
      </c>
      <c r="F2274" s="132"/>
      <c r="G2274" s="132" t="s">
        <v>5270</v>
      </c>
      <c r="H2274" s="132" t="s">
        <v>373</v>
      </c>
      <c r="I2274" s="132" t="s">
        <v>1100</v>
      </c>
      <c r="J2274" s="132" t="s">
        <v>4623</v>
      </c>
      <c r="K2274" s="132" t="s">
        <v>4672</v>
      </c>
      <c r="L2274" s="132" t="s">
        <v>4673</v>
      </c>
      <c r="M2274" s="132" t="s">
        <v>6060</v>
      </c>
      <c r="N2274" s="132" t="s">
        <v>1105</v>
      </c>
      <c r="O2274" s="132" t="s">
        <v>6061</v>
      </c>
      <c r="P2274" s="132" t="s">
        <v>5607</v>
      </c>
      <c r="Q2274" s="132" t="s">
        <v>1108</v>
      </c>
    </row>
    <row r="2275" spans="1:17" x14ac:dyDescent="0.2">
      <c r="A2275" t="s">
        <v>293</v>
      </c>
      <c r="B2275" s="141">
        <f t="shared" si="36"/>
        <v>53.65</v>
      </c>
      <c r="C2275" s="280">
        <v>45905</v>
      </c>
      <c r="D2275" s="279">
        <v>45909</v>
      </c>
      <c r="E2275" s="279">
        <v>45909</v>
      </c>
      <c r="F2275" s="132"/>
      <c r="G2275" s="132" t="s">
        <v>4626</v>
      </c>
      <c r="H2275" s="132" t="s">
        <v>373</v>
      </c>
      <c r="I2275" s="132" t="s">
        <v>1100</v>
      </c>
      <c r="J2275" s="132" t="s">
        <v>5602</v>
      </c>
      <c r="K2275" s="132" t="s">
        <v>5608</v>
      </c>
      <c r="L2275" s="132" t="s">
        <v>5609</v>
      </c>
      <c r="M2275" s="132" t="s">
        <v>6062</v>
      </c>
      <c r="N2275" s="132" t="s">
        <v>1105</v>
      </c>
      <c r="O2275" s="132" t="s">
        <v>6063</v>
      </c>
      <c r="P2275" s="132" t="s">
        <v>6064</v>
      </c>
      <c r="Q2275" s="132" t="s">
        <v>1108</v>
      </c>
    </row>
    <row r="2276" spans="1:17" x14ac:dyDescent="0.2">
      <c r="A2276" t="s">
        <v>81</v>
      </c>
      <c r="B2276" s="141">
        <f t="shared" si="36"/>
        <v>58.56</v>
      </c>
      <c r="C2276" s="280">
        <v>45905</v>
      </c>
      <c r="D2276" s="279">
        <v>45909</v>
      </c>
      <c r="E2276" s="279">
        <v>45909</v>
      </c>
      <c r="F2276" s="132"/>
      <c r="G2276" s="132" t="s">
        <v>4626</v>
      </c>
      <c r="H2276" s="132" t="s">
        <v>373</v>
      </c>
      <c r="I2276" s="132" t="s">
        <v>1100</v>
      </c>
      <c r="J2276" s="132" t="s">
        <v>4623</v>
      </c>
      <c r="K2276" s="132" t="s">
        <v>4672</v>
      </c>
      <c r="L2276" s="132" t="s">
        <v>4673</v>
      </c>
      <c r="M2276" s="132" t="s">
        <v>6065</v>
      </c>
      <c r="N2276" s="132" t="s">
        <v>1105</v>
      </c>
      <c r="O2276" s="132" t="s">
        <v>6066</v>
      </c>
      <c r="P2276" s="132" t="s">
        <v>6064</v>
      </c>
      <c r="Q2276" s="132" t="s">
        <v>1108</v>
      </c>
    </row>
    <row r="2277" spans="1:17" x14ac:dyDescent="0.2">
      <c r="A2277" t="s">
        <v>293</v>
      </c>
      <c r="B2277" s="141">
        <f t="shared" si="36"/>
        <v>53.65</v>
      </c>
      <c r="C2277" s="280">
        <v>45905</v>
      </c>
      <c r="D2277" s="279">
        <v>45909</v>
      </c>
      <c r="E2277" s="279">
        <v>45909</v>
      </c>
      <c r="F2277" s="132"/>
      <c r="G2277" s="132" t="s">
        <v>6068</v>
      </c>
      <c r="H2277" s="132" t="s">
        <v>373</v>
      </c>
      <c r="I2277" s="132" t="s">
        <v>1100</v>
      </c>
      <c r="J2277" s="132" t="s">
        <v>5602</v>
      </c>
      <c r="K2277" s="132" t="s">
        <v>5608</v>
      </c>
      <c r="L2277" s="132" t="s">
        <v>5609</v>
      </c>
      <c r="M2277" s="132" t="s">
        <v>6069</v>
      </c>
      <c r="N2277" s="132" t="s">
        <v>1105</v>
      </c>
      <c r="O2277" s="132" t="s">
        <v>6070</v>
      </c>
      <c r="P2277" s="132" t="s">
        <v>6064</v>
      </c>
      <c r="Q2277" s="132" t="s">
        <v>1108</v>
      </c>
    </row>
    <row r="2278" spans="1:17" x14ac:dyDescent="0.2">
      <c r="A2278" t="s">
        <v>81</v>
      </c>
      <c r="B2278" s="141">
        <f t="shared" si="36"/>
        <v>58.56</v>
      </c>
      <c r="C2278" s="280">
        <v>45905</v>
      </c>
      <c r="D2278" s="279">
        <v>45909</v>
      </c>
      <c r="E2278" s="279">
        <v>45909</v>
      </c>
      <c r="F2278" s="132"/>
      <c r="G2278" s="132" t="s">
        <v>6067</v>
      </c>
      <c r="H2278" s="132" t="s">
        <v>373</v>
      </c>
      <c r="I2278" s="132" t="s">
        <v>1100</v>
      </c>
      <c r="J2278" s="132" t="s">
        <v>4623</v>
      </c>
      <c r="K2278" s="132" t="s">
        <v>4672</v>
      </c>
      <c r="L2278" s="132" t="s">
        <v>4673</v>
      </c>
      <c r="M2278" s="132" t="s">
        <v>6071</v>
      </c>
      <c r="N2278" s="132" t="s">
        <v>1105</v>
      </c>
      <c r="O2278" s="132" t="s">
        <v>6072</v>
      </c>
      <c r="P2278" s="132" t="s">
        <v>6064</v>
      </c>
      <c r="Q2278" s="132" t="s">
        <v>1108</v>
      </c>
    </row>
    <row r="2279" spans="1:17" x14ac:dyDescent="0.2">
      <c r="A2279" t="s">
        <v>293</v>
      </c>
      <c r="B2279" s="141">
        <f t="shared" si="36"/>
        <v>53.65</v>
      </c>
      <c r="C2279" s="280">
        <v>45905</v>
      </c>
      <c r="D2279" s="279">
        <v>45909</v>
      </c>
      <c r="E2279" s="279">
        <v>45909</v>
      </c>
      <c r="F2279" s="132"/>
      <c r="G2279" s="132" t="s">
        <v>6073</v>
      </c>
      <c r="H2279" s="132" t="s">
        <v>373</v>
      </c>
      <c r="I2279" s="132" t="s">
        <v>1100</v>
      </c>
      <c r="J2279" s="132" t="s">
        <v>5602</v>
      </c>
      <c r="K2279" s="132" t="s">
        <v>5608</v>
      </c>
      <c r="L2279" s="132" t="s">
        <v>5609</v>
      </c>
      <c r="M2279" s="132" t="s">
        <v>6074</v>
      </c>
      <c r="N2279" s="132" t="s">
        <v>1105</v>
      </c>
      <c r="O2279" s="132" t="s">
        <v>6075</v>
      </c>
      <c r="P2279" s="132" t="s">
        <v>6064</v>
      </c>
      <c r="Q2279" s="132" t="s">
        <v>1108</v>
      </c>
    </row>
    <row r="2280" spans="1:17" x14ac:dyDescent="0.2">
      <c r="A2280" t="s">
        <v>81</v>
      </c>
      <c r="B2280" s="141">
        <f t="shared" si="36"/>
        <v>58.56</v>
      </c>
      <c r="C2280" s="280">
        <v>45905</v>
      </c>
      <c r="D2280" s="279">
        <v>45909</v>
      </c>
      <c r="E2280" s="279">
        <v>45909</v>
      </c>
      <c r="F2280" s="132"/>
      <c r="G2280" s="132" t="s">
        <v>6073</v>
      </c>
      <c r="H2280" s="132" t="s">
        <v>373</v>
      </c>
      <c r="I2280" s="132" t="s">
        <v>1100</v>
      </c>
      <c r="J2280" s="132" t="s">
        <v>4623</v>
      </c>
      <c r="K2280" s="132" t="s">
        <v>4672</v>
      </c>
      <c r="L2280" s="132" t="s">
        <v>4673</v>
      </c>
      <c r="M2280" s="132" t="s">
        <v>6076</v>
      </c>
      <c r="N2280" s="132" t="s">
        <v>1105</v>
      </c>
      <c r="O2280" s="132" t="s">
        <v>6077</v>
      </c>
      <c r="P2280" s="132" t="s">
        <v>6064</v>
      </c>
      <c r="Q2280" s="132" t="s">
        <v>1108</v>
      </c>
    </row>
    <row r="2281" spans="1:17" x14ac:dyDescent="0.2">
      <c r="A2281" t="s">
        <v>293</v>
      </c>
      <c r="B2281" s="141">
        <f t="shared" si="36"/>
        <v>53.65</v>
      </c>
      <c r="C2281" s="280">
        <v>45905</v>
      </c>
      <c r="D2281" s="279">
        <v>45909</v>
      </c>
      <c r="E2281" s="279">
        <v>45909</v>
      </c>
      <c r="F2281" s="132"/>
      <c r="G2281" s="132" t="s">
        <v>1108</v>
      </c>
      <c r="H2281" s="132" t="s">
        <v>373</v>
      </c>
      <c r="I2281" s="132" t="s">
        <v>1100</v>
      </c>
      <c r="J2281" s="132" t="s">
        <v>5602</v>
      </c>
      <c r="K2281" s="132" t="s">
        <v>5608</v>
      </c>
      <c r="L2281" s="132" t="s">
        <v>5609</v>
      </c>
      <c r="M2281" s="132" t="s">
        <v>6078</v>
      </c>
      <c r="N2281" s="132" t="s">
        <v>1117</v>
      </c>
      <c r="O2281" s="132" t="s">
        <v>6079</v>
      </c>
      <c r="P2281" s="132" t="s">
        <v>6064</v>
      </c>
      <c r="Q2281" s="132" t="s">
        <v>1108</v>
      </c>
    </row>
    <row r="2282" spans="1:17" x14ac:dyDescent="0.2">
      <c r="A2282" t="s">
        <v>293</v>
      </c>
      <c r="B2282" s="141">
        <f t="shared" si="36"/>
        <v>53.32</v>
      </c>
      <c r="C2282" s="280">
        <v>45905</v>
      </c>
      <c r="D2282" s="279">
        <v>45909</v>
      </c>
      <c r="E2282" s="279">
        <v>45909</v>
      </c>
      <c r="F2282" s="132"/>
      <c r="G2282" s="132" t="s">
        <v>1108</v>
      </c>
      <c r="H2282" s="132" t="s">
        <v>373</v>
      </c>
      <c r="I2282" s="132" t="s">
        <v>1100</v>
      </c>
      <c r="J2282" s="132" t="s">
        <v>5602</v>
      </c>
      <c r="K2282" s="132" t="s">
        <v>5603</v>
      </c>
      <c r="L2282" s="132" t="s">
        <v>5604</v>
      </c>
      <c r="M2282" s="132" t="s">
        <v>6080</v>
      </c>
      <c r="N2282" s="132" t="s">
        <v>1112</v>
      </c>
      <c r="O2282" s="132" t="s">
        <v>6081</v>
      </c>
      <c r="P2282" s="132" t="s">
        <v>6064</v>
      </c>
      <c r="Q2282" s="132" t="s">
        <v>1108</v>
      </c>
    </row>
    <row r="2283" spans="1:17" x14ac:dyDescent="0.2">
      <c r="A2283" t="s">
        <v>81</v>
      </c>
      <c r="B2283" s="141">
        <f t="shared" si="36"/>
        <v>42.6</v>
      </c>
      <c r="C2283" s="280">
        <v>45905</v>
      </c>
      <c r="D2283" s="279">
        <v>45909</v>
      </c>
      <c r="E2283" s="279">
        <v>45909</v>
      </c>
      <c r="F2283" s="132"/>
      <c r="G2283" s="132" t="s">
        <v>1108</v>
      </c>
      <c r="H2283" s="132" t="s">
        <v>373</v>
      </c>
      <c r="I2283" s="132" t="s">
        <v>1100</v>
      </c>
      <c r="J2283" s="132" t="s">
        <v>4790</v>
      </c>
      <c r="K2283" s="132" t="s">
        <v>2463</v>
      </c>
      <c r="L2283" s="132" t="s">
        <v>5014</v>
      </c>
      <c r="M2283" s="132" t="s">
        <v>6082</v>
      </c>
      <c r="N2283" s="132" t="s">
        <v>1112</v>
      </c>
      <c r="O2283" s="132" t="s">
        <v>6083</v>
      </c>
      <c r="P2283" s="132" t="s">
        <v>6064</v>
      </c>
      <c r="Q2283" s="132" t="s">
        <v>1108</v>
      </c>
    </row>
    <row r="2284" spans="1:17" x14ac:dyDescent="0.2">
      <c r="A2284" t="s">
        <v>293</v>
      </c>
      <c r="B2284" s="141">
        <f t="shared" si="36"/>
        <v>53.65</v>
      </c>
      <c r="C2284" s="280">
        <v>45905</v>
      </c>
      <c r="D2284" s="279">
        <v>45909</v>
      </c>
      <c r="E2284" s="279">
        <v>45909</v>
      </c>
      <c r="F2284" s="132"/>
      <c r="G2284" s="132" t="s">
        <v>6084</v>
      </c>
      <c r="H2284" s="132" t="s">
        <v>373</v>
      </c>
      <c r="I2284" s="132" t="s">
        <v>1100</v>
      </c>
      <c r="J2284" s="132" t="s">
        <v>5602</v>
      </c>
      <c r="K2284" s="132" t="s">
        <v>5608</v>
      </c>
      <c r="L2284" s="132" t="s">
        <v>5609</v>
      </c>
      <c r="M2284" s="132" t="s">
        <v>6085</v>
      </c>
      <c r="N2284" s="132" t="s">
        <v>1105</v>
      </c>
      <c r="O2284" s="132" t="s">
        <v>6086</v>
      </c>
      <c r="P2284" s="132" t="s">
        <v>6064</v>
      </c>
      <c r="Q2284" s="132" t="s">
        <v>1108</v>
      </c>
    </row>
    <row r="2285" spans="1:17" x14ac:dyDescent="0.2">
      <c r="A2285" t="s">
        <v>81</v>
      </c>
      <c r="B2285" s="141">
        <f t="shared" si="36"/>
        <v>22.26</v>
      </c>
      <c r="C2285" s="280">
        <v>45905</v>
      </c>
      <c r="D2285" s="279">
        <v>45909</v>
      </c>
      <c r="E2285" s="279">
        <v>45909</v>
      </c>
      <c r="F2285" s="132"/>
      <c r="G2285" s="132" t="s">
        <v>6084</v>
      </c>
      <c r="H2285" s="132" t="s">
        <v>373</v>
      </c>
      <c r="I2285" s="132" t="s">
        <v>1100</v>
      </c>
      <c r="J2285" s="132" t="s">
        <v>2909</v>
      </c>
      <c r="K2285" s="132" t="s">
        <v>2910</v>
      </c>
      <c r="L2285" s="132" t="s">
        <v>2911</v>
      </c>
      <c r="M2285" s="132" t="s">
        <v>6087</v>
      </c>
      <c r="N2285" s="132" t="s">
        <v>1105</v>
      </c>
      <c r="O2285" s="132" t="s">
        <v>6088</v>
      </c>
      <c r="P2285" s="132" t="s">
        <v>6064</v>
      </c>
      <c r="Q2285" s="132" t="s">
        <v>1108</v>
      </c>
    </row>
    <row r="2286" spans="1:17" x14ac:dyDescent="0.2">
      <c r="A2286" t="s">
        <v>293</v>
      </c>
      <c r="B2286" s="141">
        <f t="shared" ref="B2286:B2349" si="37">_xlfn.NUMBERVALUE(L2286)*0.01</f>
        <v>53.65</v>
      </c>
      <c r="C2286" s="280">
        <v>45905</v>
      </c>
      <c r="D2286" s="279">
        <v>45909</v>
      </c>
      <c r="E2286" s="279">
        <v>45909</v>
      </c>
      <c r="F2286" s="132"/>
      <c r="G2286" s="132" t="s">
        <v>6089</v>
      </c>
      <c r="H2286" s="132" t="s">
        <v>373</v>
      </c>
      <c r="I2286" s="132" t="s">
        <v>1100</v>
      </c>
      <c r="J2286" s="132" t="s">
        <v>5602</v>
      </c>
      <c r="K2286" s="132" t="s">
        <v>5608</v>
      </c>
      <c r="L2286" s="132" t="s">
        <v>5609</v>
      </c>
      <c r="M2286" s="132" t="s">
        <v>6090</v>
      </c>
      <c r="N2286" s="132" t="s">
        <v>1105</v>
      </c>
      <c r="O2286" s="132" t="s">
        <v>6091</v>
      </c>
      <c r="P2286" s="132" t="s">
        <v>6064</v>
      </c>
      <c r="Q2286" s="132" t="s">
        <v>1108</v>
      </c>
    </row>
    <row r="2287" spans="1:17" x14ac:dyDescent="0.2">
      <c r="A2287" t="s">
        <v>81</v>
      </c>
      <c r="B2287" s="141">
        <f t="shared" si="37"/>
        <v>58.56</v>
      </c>
      <c r="C2287" s="280">
        <v>45905</v>
      </c>
      <c r="D2287" s="279">
        <v>45909</v>
      </c>
      <c r="E2287" s="279">
        <v>45909</v>
      </c>
      <c r="F2287" s="132"/>
      <c r="G2287" s="132" t="s">
        <v>6089</v>
      </c>
      <c r="H2287" s="132" t="s">
        <v>373</v>
      </c>
      <c r="I2287" s="132" t="s">
        <v>1100</v>
      </c>
      <c r="J2287" s="132" t="s">
        <v>4623</v>
      </c>
      <c r="K2287" s="132" t="s">
        <v>4672</v>
      </c>
      <c r="L2287" s="132" t="s">
        <v>4673</v>
      </c>
      <c r="M2287" s="132" t="s">
        <v>6092</v>
      </c>
      <c r="N2287" s="132" t="s">
        <v>1105</v>
      </c>
      <c r="O2287" s="132" t="s">
        <v>6093</v>
      </c>
      <c r="P2287" s="132" t="s">
        <v>6064</v>
      </c>
      <c r="Q2287" s="132" t="s">
        <v>1108</v>
      </c>
    </row>
    <row r="2288" spans="1:17" x14ac:dyDescent="0.2">
      <c r="A2288" t="s">
        <v>293</v>
      </c>
      <c r="B2288" s="141">
        <f t="shared" si="37"/>
        <v>53.65</v>
      </c>
      <c r="C2288" s="280">
        <v>45905</v>
      </c>
      <c r="D2288" s="279">
        <v>45909</v>
      </c>
      <c r="E2288" s="279">
        <v>45909</v>
      </c>
      <c r="F2288" s="132"/>
      <c r="G2288" s="132" t="s">
        <v>4732</v>
      </c>
      <c r="H2288" s="132" t="s">
        <v>373</v>
      </c>
      <c r="I2288" s="132" t="s">
        <v>1100</v>
      </c>
      <c r="J2288" s="132" t="s">
        <v>5602</v>
      </c>
      <c r="K2288" s="132" t="s">
        <v>5608</v>
      </c>
      <c r="L2288" s="132" t="s">
        <v>5609</v>
      </c>
      <c r="M2288" s="132" t="s">
        <v>6094</v>
      </c>
      <c r="N2288" s="132" t="s">
        <v>1105</v>
      </c>
      <c r="O2288" s="132" t="s">
        <v>6095</v>
      </c>
      <c r="P2288" s="132" t="s">
        <v>6064</v>
      </c>
      <c r="Q2288" s="132" t="s">
        <v>1108</v>
      </c>
    </row>
    <row r="2289" spans="1:17" x14ac:dyDescent="0.2">
      <c r="A2289" t="s">
        <v>81</v>
      </c>
      <c r="B2289" s="141">
        <f t="shared" si="37"/>
        <v>58.56</v>
      </c>
      <c r="C2289" s="280">
        <v>45906</v>
      </c>
      <c r="D2289" s="279">
        <v>45909</v>
      </c>
      <c r="E2289" s="279">
        <v>45909</v>
      </c>
      <c r="F2289" s="132"/>
      <c r="G2289" s="132" t="s">
        <v>4814</v>
      </c>
      <c r="H2289" s="132" t="s">
        <v>373</v>
      </c>
      <c r="I2289" s="132" t="s">
        <v>1100</v>
      </c>
      <c r="J2289" s="132" t="s">
        <v>4623</v>
      </c>
      <c r="K2289" s="132" t="s">
        <v>4672</v>
      </c>
      <c r="L2289" s="132" t="s">
        <v>4673</v>
      </c>
      <c r="M2289" s="132" t="s">
        <v>6096</v>
      </c>
      <c r="N2289" s="132" t="s">
        <v>1105</v>
      </c>
      <c r="O2289" s="132" t="s">
        <v>6097</v>
      </c>
      <c r="P2289" s="132" t="s">
        <v>6064</v>
      </c>
      <c r="Q2289" s="132" t="s">
        <v>1108</v>
      </c>
    </row>
    <row r="2290" spans="1:17" x14ac:dyDescent="0.2">
      <c r="A2290" t="s">
        <v>142</v>
      </c>
      <c r="B2290" s="141">
        <f t="shared" si="37"/>
        <v>4.6000000000000005</v>
      </c>
      <c r="C2290" s="280">
        <v>45906</v>
      </c>
      <c r="D2290" s="279">
        <v>45909</v>
      </c>
      <c r="E2290" s="279">
        <v>45909</v>
      </c>
      <c r="F2290" s="132"/>
      <c r="G2290" s="132" t="s">
        <v>1108</v>
      </c>
      <c r="H2290" s="132" t="s">
        <v>373</v>
      </c>
      <c r="I2290" s="132" t="s">
        <v>1100</v>
      </c>
      <c r="J2290" s="132" t="s">
        <v>2671</v>
      </c>
      <c r="K2290" s="132" t="s">
        <v>2672</v>
      </c>
      <c r="L2290" s="132" t="s">
        <v>2673</v>
      </c>
      <c r="M2290" s="132" t="s">
        <v>6098</v>
      </c>
      <c r="N2290" s="132" t="s">
        <v>1117</v>
      </c>
      <c r="O2290" s="132" t="s">
        <v>6099</v>
      </c>
      <c r="P2290" s="132" t="s">
        <v>6064</v>
      </c>
      <c r="Q2290" s="132" t="s">
        <v>1108</v>
      </c>
    </row>
    <row r="2291" spans="1:17" x14ac:dyDescent="0.2">
      <c r="A2291" t="s">
        <v>141</v>
      </c>
      <c r="B2291" s="141">
        <f t="shared" si="37"/>
        <v>3.13</v>
      </c>
      <c r="C2291" s="280">
        <v>45906</v>
      </c>
      <c r="D2291" s="279">
        <v>45909</v>
      </c>
      <c r="E2291" s="279">
        <v>45909</v>
      </c>
      <c r="F2291" s="132"/>
      <c r="G2291" s="132" t="s">
        <v>5407</v>
      </c>
      <c r="H2291" s="132" t="s">
        <v>373</v>
      </c>
      <c r="I2291" s="132" t="s">
        <v>1100</v>
      </c>
      <c r="J2291" s="132" t="s">
        <v>1730</v>
      </c>
      <c r="K2291" s="132" t="s">
        <v>1742</v>
      </c>
      <c r="L2291" s="132" t="s">
        <v>1743</v>
      </c>
      <c r="M2291" s="132" t="s">
        <v>6100</v>
      </c>
      <c r="N2291" s="132" t="s">
        <v>1105</v>
      </c>
      <c r="O2291" s="132" t="s">
        <v>6101</v>
      </c>
      <c r="P2291" s="132" t="s">
        <v>6064</v>
      </c>
      <c r="Q2291" s="132" t="s">
        <v>1108</v>
      </c>
    </row>
    <row r="2292" spans="1:17" x14ac:dyDescent="0.2">
      <c r="A2292" t="s">
        <v>141</v>
      </c>
      <c r="B2292" s="141">
        <f t="shared" si="37"/>
        <v>3.13</v>
      </c>
      <c r="C2292" s="280">
        <v>45906</v>
      </c>
      <c r="D2292" s="279">
        <v>45909</v>
      </c>
      <c r="E2292" s="279">
        <v>45909</v>
      </c>
      <c r="F2292" s="132"/>
      <c r="G2292" s="132" t="s">
        <v>1108</v>
      </c>
      <c r="H2292" s="132" t="s">
        <v>373</v>
      </c>
      <c r="I2292" s="132" t="s">
        <v>1100</v>
      </c>
      <c r="J2292" s="132" t="s">
        <v>1730</v>
      </c>
      <c r="K2292" s="132" t="s">
        <v>1742</v>
      </c>
      <c r="L2292" s="132" t="s">
        <v>1743</v>
      </c>
      <c r="M2292" s="132" t="s">
        <v>6102</v>
      </c>
      <c r="N2292" s="132" t="s">
        <v>1117</v>
      </c>
      <c r="O2292" s="132" t="s">
        <v>6103</v>
      </c>
      <c r="P2292" s="132" t="s">
        <v>6064</v>
      </c>
      <c r="Q2292" s="132" t="s">
        <v>1108</v>
      </c>
    </row>
    <row r="2293" spans="1:17" x14ac:dyDescent="0.2">
      <c r="A2293" t="s">
        <v>141</v>
      </c>
      <c r="B2293" s="141">
        <f t="shared" si="37"/>
        <v>3.13</v>
      </c>
      <c r="C2293" s="280">
        <v>45906</v>
      </c>
      <c r="D2293" s="279">
        <v>45909</v>
      </c>
      <c r="E2293" s="279">
        <v>45909</v>
      </c>
      <c r="F2293" s="132"/>
      <c r="G2293" s="132" t="s">
        <v>4667</v>
      </c>
      <c r="H2293" s="132" t="s">
        <v>373</v>
      </c>
      <c r="I2293" s="132" t="s">
        <v>1100</v>
      </c>
      <c r="J2293" s="132" t="s">
        <v>1730</v>
      </c>
      <c r="K2293" s="132" t="s">
        <v>1742</v>
      </c>
      <c r="L2293" s="132" t="s">
        <v>1743</v>
      </c>
      <c r="M2293" s="132" t="s">
        <v>6104</v>
      </c>
      <c r="N2293" s="132" t="s">
        <v>1105</v>
      </c>
      <c r="O2293" s="132" t="s">
        <v>6105</v>
      </c>
      <c r="P2293" s="132" t="s">
        <v>6064</v>
      </c>
      <c r="Q2293" s="132" t="s">
        <v>1108</v>
      </c>
    </row>
    <row r="2294" spans="1:17" x14ac:dyDescent="0.2">
      <c r="A2294" t="s">
        <v>141</v>
      </c>
      <c r="B2294" s="141">
        <f t="shared" si="37"/>
        <v>3.11</v>
      </c>
      <c r="C2294" s="280">
        <v>45906</v>
      </c>
      <c r="D2294" s="279">
        <v>45909</v>
      </c>
      <c r="E2294" s="279">
        <v>45909</v>
      </c>
      <c r="F2294" s="132"/>
      <c r="G2294" s="132" t="s">
        <v>1108</v>
      </c>
      <c r="H2294" s="132" t="s">
        <v>373</v>
      </c>
      <c r="I2294" s="132" t="s">
        <v>1100</v>
      </c>
      <c r="J2294" s="132" t="s">
        <v>1730</v>
      </c>
      <c r="K2294" s="132" t="s">
        <v>1731</v>
      </c>
      <c r="L2294" s="132" t="s">
        <v>1732</v>
      </c>
      <c r="M2294" s="132" t="s">
        <v>6106</v>
      </c>
      <c r="N2294" s="132" t="s">
        <v>1112</v>
      </c>
      <c r="O2294" s="132" t="s">
        <v>6107</v>
      </c>
      <c r="P2294" s="132" t="s">
        <v>6064</v>
      </c>
      <c r="Q2294" s="132" t="s">
        <v>1108</v>
      </c>
    </row>
    <row r="2295" spans="1:17" x14ac:dyDescent="0.2">
      <c r="A2295" t="s">
        <v>141</v>
      </c>
      <c r="B2295" s="141">
        <f t="shared" si="37"/>
        <v>3.13</v>
      </c>
      <c r="C2295" s="280">
        <v>45906</v>
      </c>
      <c r="D2295" s="279">
        <v>45909</v>
      </c>
      <c r="E2295" s="279">
        <v>45909</v>
      </c>
      <c r="F2295" s="132"/>
      <c r="G2295" s="132" t="s">
        <v>1108</v>
      </c>
      <c r="H2295" s="132" t="s">
        <v>373</v>
      </c>
      <c r="I2295" s="132" t="s">
        <v>1100</v>
      </c>
      <c r="J2295" s="132" t="s">
        <v>1730</v>
      </c>
      <c r="K2295" s="132" t="s">
        <v>1742</v>
      </c>
      <c r="L2295" s="132" t="s">
        <v>1743</v>
      </c>
      <c r="M2295" s="132" t="s">
        <v>6108</v>
      </c>
      <c r="N2295" s="132" t="s">
        <v>1117</v>
      </c>
      <c r="O2295" s="132" t="s">
        <v>6109</v>
      </c>
      <c r="P2295" s="132" t="s">
        <v>6064</v>
      </c>
      <c r="Q2295" s="132" t="s">
        <v>1108</v>
      </c>
    </row>
    <row r="2296" spans="1:17" x14ac:dyDescent="0.2">
      <c r="A2296" t="s">
        <v>141</v>
      </c>
      <c r="B2296" s="141">
        <f t="shared" si="37"/>
        <v>3.13</v>
      </c>
      <c r="C2296" s="280">
        <v>45906</v>
      </c>
      <c r="D2296" s="279">
        <v>45909</v>
      </c>
      <c r="E2296" s="279">
        <v>45909</v>
      </c>
      <c r="F2296" s="132"/>
      <c r="G2296" s="132" t="s">
        <v>4918</v>
      </c>
      <c r="H2296" s="132" t="s">
        <v>373</v>
      </c>
      <c r="I2296" s="132" t="s">
        <v>1100</v>
      </c>
      <c r="J2296" s="132" t="s">
        <v>1730</v>
      </c>
      <c r="K2296" s="132" t="s">
        <v>1742</v>
      </c>
      <c r="L2296" s="132" t="s">
        <v>1743</v>
      </c>
      <c r="M2296" s="132" t="s">
        <v>6110</v>
      </c>
      <c r="N2296" s="132" t="s">
        <v>1105</v>
      </c>
      <c r="O2296" s="132" t="s">
        <v>6111</v>
      </c>
      <c r="P2296" s="132" t="s">
        <v>6064</v>
      </c>
      <c r="Q2296" s="132" t="s">
        <v>1108</v>
      </c>
    </row>
    <row r="2297" spans="1:17" x14ac:dyDescent="0.2">
      <c r="A2297" t="s">
        <v>81</v>
      </c>
      <c r="B2297" s="141">
        <f t="shared" si="37"/>
        <v>58.56</v>
      </c>
      <c r="C2297" s="280">
        <v>45906</v>
      </c>
      <c r="D2297" s="279">
        <v>45909</v>
      </c>
      <c r="E2297" s="279">
        <v>45909</v>
      </c>
      <c r="F2297" s="132"/>
      <c r="G2297" s="132" t="s">
        <v>6112</v>
      </c>
      <c r="H2297" s="132" t="s">
        <v>373</v>
      </c>
      <c r="I2297" s="132" t="s">
        <v>1100</v>
      </c>
      <c r="J2297" s="132" t="s">
        <v>4623</v>
      </c>
      <c r="K2297" s="132" t="s">
        <v>4672</v>
      </c>
      <c r="L2297" s="132" t="s">
        <v>4673</v>
      </c>
      <c r="M2297" s="132" t="s">
        <v>6113</v>
      </c>
      <c r="N2297" s="132" t="s">
        <v>1105</v>
      </c>
      <c r="O2297" s="132" t="s">
        <v>6114</v>
      </c>
      <c r="P2297" s="132" t="s">
        <v>6064</v>
      </c>
      <c r="Q2297" s="132" t="s">
        <v>1108</v>
      </c>
    </row>
    <row r="2298" spans="1:17" x14ac:dyDescent="0.2">
      <c r="A2298" t="s">
        <v>141</v>
      </c>
      <c r="B2298" s="141">
        <f t="shared" si="37"/>
        <v>3.13</v>
      </c>
      <c r="C2298" s="280">
        <v>45906</v>
      </c>
      <c r="D2298" s="279">
        <v>45909</v>
      </c>
      <c r="E2298" s="279">
        <v>45909</v>
      </c>
      <c r="F2298" s="132"/>
      <c r="G2298" s="132" t="s">
        <v>1108</v>
      </c>
      <c r="H2298" s="132" t="s">
        <v>373</v>
      </c>
      <c r="I2298" s="132" t="s">
        <v>1100</v>
      </c>
      <c r="J2298" s="132" t="s">
        <v>1730</v>
      </c>
      <c r="K2298" s="132" t="s">
        <v>1742</v>
      </c>
      <c r="L2298" s="132" t="s">
        <v>1743</v>
      </c>
      <c r="M2298" s="132" t="s">
        <v>6115</v>
      </c>
      <c r="N2298" s="132" t="s">
        <v>1117</v>
      </c>
      <c r="O2298" s="132" t="s">
        <v>6116</v>
      </c>
      <c r="P2298" s="132" t="s">
        <v>6064</v>
      </c>
      <c r="Q2298" s="132" t="s">
        <v>1108</v>
      </c>
    </row>
    <row r="2299" spans="1:17" x14ac:dyDescent="0.2">
      <c r="A2299" t="s">
        <v>141</v>
      </c>
      <c r="B2299" s="141">
        <f t="shared" si="37"/>
        <v>3.13</v>
      </c>
      <c r="C2299" s="280">
        <v>45906</v>
      </c>
      <c r="D2299" s="279">
        <v>45909</v>
      </c>
      <c r="E2299" s="279">
        <v>45909</v>
      </c>
      <c r="F2299" s="132"/>
      <c r="G2299" s="132" t="s">
        <v>1108</v>
      </c>
      <c r="H2299" s="132" t="s">
        <v>373</v>
      </c>
      <c r="I2299" s="132" t="s">
        <v>1100</v>
      </c>
      <c r="J2299" s="132" t="s">
        <v>1730</v>
      </c>
      <c r="K2299" s="132" t="s">
        <v>1742</v>
      </c>
      <c r="L2299" s="132" t="s">
        <v>1743</v>
      </c>
      <c r="M2299" s="132" t="s">
        <v>6117</v>
      </c>
      <c r="N2299" s="132" t="s">
        <v>1117</v>
      </c>
      <c r="O2299" s="132" t="s">
        <v>6118</v>
      </c>
      <c r="P2299" s="132" t="s">
        <v>6064</v>
      </c>
      <c r="Q2299" s="132" t="s">
        <v>1108</v>
      </c>
    </row>
    <row r="2300" spans="1:17" x14ac:dyDescent="0.2">
      <c r="A2300" t="s">
        <v>141</v>
      </c>
      <c r="B2300" s="141">
        <f t="shared" si="37"/>
        <v>3.13</v>
      </c>
      <c r="C2300" s="280">
        <v>45906</v>
      </c>
      <c r="D2300" s="279">
        <v>45909</v>
      </c>
      <c r="E2300" s="279">
        <v>45909</v>
      </c>
      <c r="F2300" s="132"/>
      <c r="G2300" s="132" t="s">
        <v>1108</v>
      </c>
      <c r="H2300" s="132" t="s">
        <v>373</v>
      </c>
      <c r="I2300" s="132" t="s">
        <v>1100</v>
      </c>
      <c r="J2300" s="132" t="s">
        <v>1730</v>
      </c>
      <c r="K2300" s="132" t="s">
        <v>1742</v>
      </c>
      <c r="L2300" s="132" t="s">
        <v>1743</v>
      </c>
      <c r="M2300" s="132" t="s">
        <v>6119</v>
      </c>
      <c r="N2300" s="132" t="s">
        <v>1117</v>
      </c>
      <c r="O2300" s="132" t="s">
        <v>6120</v>
      </c>
      <c r="P2300" s="132" t="s">
        <v>6064</v>
      </c>
      <c r="Q2300" s="132" t="s">
        <v>1108</v>
      </c>
    </row>
    <row r="2301" spans="1:17" x14ac:dyDescent="0.2">
      <c r="A2301" t="s">
        <v>141</v>
      </c>
      <c r="B2301" s="141">
        <f t="shared" si="37"/>
        <v>3.13</v>
      </c>
      <c r="C2301" s="280">
        <v>45906</v>
      </c>
      <c r="D2301" s="279">
        <v>45909</v>
      </c>
      <c r="E2301" s="279">
        <v>45909</v>
      </c>
      <c r="F2301" s="132"/>
      <c r="G2301" s="132" t="s">
        <v>1108</v>
      </c>
      <c r="H2301" s="132" t="s">
        <v>373</v>
      </c>
      <c r="I2301" s="132" t="s">
        <v>1100</v>
      </c>
      <c r="J2301" s="132" t="s">
        <v>1730</v>
      </c>
      <c r="K2301" s="132" t="s">
        <v>1742</v>
      </c>
      <c r="L2301" s="132" t="s">
        <v>1743</v>
      </c>
      <c r="M2301" s="132" t="s">
        <v>6121</v>
      </c>
      <c r="N2301" s="132" t="s">
        <v>1117</v>
      </c>
      <c r="O2301" s="132" t="s">
        <v>6122</v>
      </c>
      <c r="P2301" s="132" t="s">
        <v>6064</v>
      </c>
      <c r="Q2301" s="132" t="s">
        <v>1108</v>
      </c>
    </row>
    <row r="2302" spans="1:17" x14ac:dyDescent="0.2">
      <c r="A2302" t="s">
        <v>142</v>
      </c>
      <c r="B2302" s="141">
        <f t="shared" si="37"/>
        <v>4.57</v>
      </c>
      <c r="C2302" s="280">
        <v>45906</v>
      </c>
      <c r="D2302" s="279">
        <v>45909</v>
      </c>
      <c r="E2302" s="279">
        <v>45909</v>
      </c>
      <c r="F2302" s="132"/>
      <c r="G2302" s="132" t="s">
        <v>1108</v>
      </c>
      <c r="H2302" s="132" t="s">
        <v>373</v>
      </c>
      <c r="I2302" s="132" t="s">
        <v>1100</v>
      </c>
      <c r="J2302" s="132" t="s">
        <v>2671</v>
      </c>
      <c r="K2302" s="132" t="s">
        <v>1927</v>
      </c>
      <c r="L2302" s="132" t="s">
        <v>2740</v>
      </c>
      <c r="M2302" s="132" t="s">
        <v>6123</v>
      </c>
      <c r="N2302" s="132" t="s">
        <v>1112</v>
      </c>
      <c r="O2302" s="132" t="s">
        <v>6124</v>
      </c>
      <c r="P2302" s="132" t="s">
        <v>6064</v>
      </c>
      <c r="Q2302" s="132" t="s">
        <v>1108</v>
      </c>
    </row>
    <row r="2303" spans="1:17" x14ac:dyDescent="0.2">
      <c r="A2303" t="s">
        <v>141</v>
      </c>
      <c r="B2303" s="141">
        <f t="shared" si="37"/>
        <v>3.13</v>
      </c>
      <c r="C2303" s="280">
        <v>45906</v>
      </c>
      <c r="D2303" s="279">
        <v>45909</v>
      </c>
      <c r="E2303" s="279">
        <v>45909</v>
      </c>
      <c r="F2303" s="132"/>
      <c r="G2303" s="132" t="s">
        <v>1108</v>
      </c>
      <c r="H2303" s="132" t="s">
        <v>373</v>
      </c>
      <c r="I2303" s="132" t="s">
        <v>1100</v>
      </c>
      <c r="J2303" s="132" t="s">
        <v>1730</v>
      </c>
      <c r="K2303" s="132" t="s">
        <v>1742</v>
      </c>
      <c r="L2303" s="132" t="s">
        <v>1743</v>
      </c>
      <c r="M2303" s="132" t="s">
        <v>6125</v>
      </c>
      <c r="N2303" s="132" t="s">
        <v>1117</v>
      </c>
      <c r="O2303" s="132" t="s">
        <v>6126</v>
      </c>
      <c r="P2303" s="132" t="s">
        <v>6064</v>
      </c>
      <c r="Q2303" s="132" t="s">
        <v>1108</v>
      </c>
    </row>
    <row r="2304" spans="1:17" x14ac:dyDescent="0.2">
      <c r="A2304" t="s">
        <v>141</v>
      </c>
      <c r="B2304" s="141">
        <f t="shared" si="37"/>
        <v>3.13</v>
      </c>
      <c r="C2304" s="280">
        <v>45906</v>
      </c>
      <c r="D2304" s="279">
        <v>45909</v>
      </c>
      <c r="E2304" s="279">
        <v>45909</v>
      </c>
      <c r="F2304" s="132"/>
      <c r="G2304" s="132" t="s">
        <v>6084</v>
      </c>
      <c r="H2304" s="132" t="s">
        <v>373</v>
      </c>
      <c r="I2304" s="132" t="s">
        <v>1100</v>
      </c>
      <c r="J2304" s="132" t="s">
        <v>1730</v>
      </c>
      <c r="K2304" s="132" t="s">
        <v>1742</v>
      </c>
      <c r="L2304" s="132" t="s">
        <v>1743</v>
      </c>
      <c r="M2304" s="132" t="s">
        <v>6127</v>
      </c>
      <c r="N2304" s="132" t="s">
        <v>1105</v>
      </c>
      <c r="O2304" s="132" t="s">
        <v>6128</v>
      </c>
      <c r="P2304" s="132" t="s">
        <v>6064</v>
      </c>
      <c r="Q2304" s="132" t="s">
        <v>1108</v>
      </c>
    </row>
    <row r="2305" spans="1:17" x14ac:dyDescent="0.2">
      <c r="A2305" t="s">
        <v>141</v>
      </c>
      <c r="B2305" s="141">
        <f t="shared" si="37"/>
        <v>3.13</v>
      </c>
      <c r="C2305" s="280">
        <v>45906</v>
      </c>
      <c r="D2305" s="279">
        <v>45909</v>
      </c>
      <c r="E2305" s="279">
        <v>45909</v>
      </c>
      <c r="F2305" s="132"/>
      <c r="G2305" s="132" t="s">
        <v>1108</v>
      </c>
      <c r="H2305" s="132" t="s">
        <v>373</v>
      </c>
      <c r="I2305" s="132" t="s">
        <v>1100</v>
      </c>
      <c r="J2305" s="132" t="s">
        <v>1730</v>
      </c>
      <c r="K2305" s="132" t="s">
        <v>1742</v>
      </c>
      <c r="L2305" s="132" t="s">
        <v>1743</v>
      </c>
      <c r="M2305" s="132" t="s">
        <v>6129</v>
      </c>
      <c r="N2305" s="132" t="s">
        <v>1117</v>
      </c>
      <c r="O2305" s="132" t="s">
        <v>6130</v>
      </c>
      <c r="P2305" s="132" t="s">
        <v>6064</v>
      </c>
      <c r="Q2305" s="132" t="s">
        <v>1108</v>
      </c>
    </row>
    <row r="2306" spans="1:17" x14ac:dyDescent="0.2">
      <c r="A2306" t="s">
        <v>141</v>
      </c>
      <c r="B2306" s="141">
        <f t="shared" si="37"/>
        <v>3.13</v>
      </c>
      <c r="C2306" s="280">
        <v>45906</v>
      </c>
      <c r="D2306" s="279">
        <v>45909</v>
      </c>
      <c r="E2306" s="279">
        <v>45909</v>
      </c>
      <c r="F2306" s="132"/>
      <c r="G2306" s="132" t="s">
        <v>5686</v>
      </c>
      <c r="H2306" s="132" t="s">
        <v>373</v>
      </c>
      <c r="I2306" s="132" t="s">
        <v>1100</v>
      </c>
      <c r="J2306" s="132" t="s">
        <v>1730</v>
      </c>
      <c r="K2306" s="132" t="s">
        <v>1742</v>
      </c>
      <c r="L2306" s="132" t="s">
        <v>1743</v>
      </c>
      <c r="M2306" s="132" t="s">
        <v>6131</v>
      </c>
      <c r="N2306" s="132" t="s">
        <v>1105</v>
      </c>
      <c r="O2306" s="132" t="s">
        <v>6132</v>
      </c>
      <c r="P2306" s="132" t="s">
        <v>6064</v>
      </c>
      <c r="Q2306" s="132" t="s">
        <v>1108</v>
      </c>
    </row>
    <row r="2307" spans="1:17" x14ac:dyDescent="0.2">
      <c r="A2307" t="s">
        <v>142</v>
      </c>
      <c r="B2307" s="141">
        <f t="shared" si="37"/>
        <v>8.0400000000000009</v>
      </c>
      <c r="C2307" s="280">
        <v>45906</v>
      </c>
      <c r="D2307" s="279">
        <v>45909</v>
      </c>
      <c r="E2307" s="279">
        <v>45909</v>
      </c>
      <c r="F2307" s="132"/>
      <c r="G2307" s="132" t="s">
        <v>1108</v>
      </c>
      <c r="H2307" s="132" t="s">
        <v>373</v>
      </c>
      <c r="I2307" s="132" t="s">
        <v>1100</v>
      </c>
      <c r="J2307" s="132" t="s">
        <v>6133</v>
      </c>
      <c r="K2307" s="132" t="s">
        <v>3681</v>
      </c>
      <c r="L2307" s="132" t="s">
        <v>1226</v>
      </c>
      <c r="M2307" s="132" t="s">
        <v>6134</v>
      </c>
      <c r="N2307" s="132" t="s">
        <v>1117</v>
      </c>
      <c r="O2307" s="132" t="s">
        <v>6135</v>
      </c>
      <c r="P2307" s="132" t="s">
        <v>6064</v>
      </c>
      <c r="Q2307" s="132" t="s">
        <v>1108</v>
      </c>
    </row>
    <row r="2308" spans="1:17" x14ac:dyDescent="0.2">
      <c r="A2308" t="s">
        <v>141</v>
      </c>
      <c r="B2308" s="141">
        <f t="shared" si="37"/>
        <v>3.11</v>
      </c>
      <c r="C2308" s="280">
        <v>45906</v>
      </c>
      <c r="D2308" s="279">
        <v>45909</v>
      </c>
      <c r="E2308" s="279">
        <v>45909</v>
      </c>
      <c r="F2308" s="132"/>
      <c r="G2308" s="132" t="s">
        <v>1108</v>
      </c>
      <c r="H2308" s="132" t="s">
        <v>373</v>
      </c>
      <c r="I2308" s="132" t="s">
        <v>1100</v>
      </c>
      <c r="J2308" s="132" t="s">
        <v>1730</v>
      </c>
      <c r="K2308" s="132" t="s">
        <v>1731</v>
      </c>
      <c r="L2308" s="132" t="s">
        <v>1732</v>
      </c>
      <c r="M2308" s="132" t="s">
        <v>6136</v>
      </c>
      <c r="N2308" s="132" t="s">
        <v>1112</v>
      </c>
      <c r="O2308" s="132" t="s">
        <v>6137</v>
      </c>
      <c r="P2308" s="132" t="s">
        <v>6064</v>
      </c>
      <c r="Q2308" s="132" t="s">
        <v>1108</v>
      </c>
    </row>
    <row r="2309" spans="1:17" x14ac:dyDescent="0.2">
      <c r="A2309" t="s">
        <v>141</v>
      </c>
      <c r="B2309" s="141">
        <f t="shared" si="37"/>
        <v>3.11</v>
      </c>
      <c r="C2309" s="280">
        <v>45906</v>
      </c>
      <c r="D2309" s="279">
        <v>45909</v>
      </c>
      <c r="E2309" s="279">
        <v>45909</v>
      </c>
      <c r="F2309" s="132"/>
      <c r="G2309" s="132" t="s">
        <v>1108</v>
      </c>
      <c r="H2309" s="132" t="s">
        <v>373</v>
      </c>
      <c r="I2309" s="132" t="s">
        <v>1100</v>
      </c>
      <c r="J2309" s="132" t="s">
        <v>1730</v>
      </c>
      <c r="K2309" s="132" t="s">
        <v>1731</v>
      </c>
      <c r="L2309" s="132" t="s">
        <v>1732</v>
      </c>
      <c r="M2309" s="132" t="s">
        <v>6138</v>
      </c>
      <c r="N2309" s="132" t="s">
        <v>1112</v>
      </c>
      <c r="O2309" s="132" t="s">
        <v>6139</v>
      </c>
      <c r="P2309" s="132" t="s">
        <v>6064</v>
      </c>
      <c r="Q2309" s="132" t="s">
        <v>1108</v>
      </c>
    </row>
    <row r="2310" spans="1:17" x14ac:dyDescent="0.2">
      <c r="A2310" t="s">
        <v>142</v>
      </c>
      <c r="B2310" s="141">
        <f t="shared" si="37"/>
        <v>4.57</v>
      </c>
      <c r="C2310" s="280">
        <v>45906</v>
      </c>
      <c r="D2310" s="279">
        <v>45909</v>
      </c>
      <c r="E2310" s="279">
        <v>45909</v>
      </c>
      <c r="F2310" s="132"/>
      <c r="G2310" s="132" t="s">
        <v>1108</v>
      </c>
      <c r="H2310" s="132" t="s">
        <v>373</v>
      </c>
      <c r="I2310" s="132" t="s">
        <v>1100</v>
      </c>
      <c r="J2310" s="132" t="s">
        <v>2671</v>
      </c>
      <c r="K2310" s="132" t="s">
        <v>1927</v>
      </c>
      <c r="L2310" s="132" t="s">
        <v>2740</v>
      </c>
      <c r="M2310" s="132" t="s">
        <v>6140</v>
      </c>
      <c r="N2310" s="132" t="s">
        <v>1112</v>
      </c>
      <c r="O2310" s="132" t="s">
        <v>6141</v>
      </c>
      <c r="P2310" s="132" t="s">
        <v>6064</v>
      </c>
      <c r="Q2310" s="132" t="s">
        <v>1108</v>
      </c>
    </row>
    <row r="2311" spans="1:17" x14ac:dyDescent="0.2">
      <c r="A2311" t="s">
        <v>141</v>
      </c>
      <c r="B2311" s="141">
        <f t="shared" si="37"/>
        <v>3.11</v>
      </c>
      <c r="C2311" s="280">
        <v>45906</v>
      </c>
      <c r="D2311" s="279">
        <v>45909</v>
      </c>
      <c r="E2311" s="279">
        <v>45909</v>
      </c>
      <c r="F2311" s="132"/>
      <c r="G2311" s="132" t="s">
        <v>1108</v>
      </c>
      <c r="H2311" s="132" t="s">
        <v>373</v>
      </c>
      <c r="I2311" s="132" t="s">
        <v>1100</v>
      </c>
      <c r="J2311" s="132" t="s">
        <v>1730</v>
      </c>
      <c r="K2311" s="132" t="s">
        <v>1731</v>
      </c>
      <c r="L2311" s="132" t="s">
        <v>1732</v>
      </c>
      <c r="M2311" s="132" t="s">
        <v>6142</v>
      </c>
      <c r="N2311" s="132" t="s">
        <v>1112</v>
      </c>
      <c r="O2311" s="132" t="s">
        <v>6143</v>
      </c>
      <c r="P2311" s="132" t="s">
        <v>6064</v>
      </c>
      <c r="Q2311" s="132" t="s">
        <v>1108</v>
      </c>
    </row>
    <row r="2312" spans="1:17" x14ac:dyDescent="0.2">
      <c r="A2312" t="s">
        <v>142</v>
      </c>
      <c r="B2312" s="141">
        <f t="shared" si="37"/>
        <v>4.6000000000000005</v>
      </c>
      <c r="C2312" s="280">
        <v>45906</v>
      </c>
      <c r="D2312" s="279">
        <v>45909</v>
      </c>
      <c r="E2312" s="279">
        <v>45909</v>
      </c>
      <c r="F2312" s="132"/>
      <c r="G2312" s="132" t="s">
        <v>1108</v>
      </c>
      <c r="H2312" s="132" t="s">
        <v>373</v>
      </c>
      <c r="I2312" s="132" t="s">
        <v>1100</v>
      </c>
      <c r="J2312" s="132" t="s">
        <v>2671</v>
      </c>
      <c r="K2312" s="132" t="s">
        <v>2672</v>
      </c>
      <c r="L2312" s="132" t="s">
        <v>2673</v>
      </c>
      <c r="M2312" s="132" t="s">
        <v>6144</v>
      </c>
      <c r="N2312" s="132" t="s">
        <v>1117</v>
      </c>
      <c r="O2312" s="132" t="s">
        <v>6145</v>
      </c>
      <c r="P2312" s="132" t="s">
        <v>6064</v>
      </c>
      <c r="Q2312" s="132" t="s">
        <v>1108</v>
      </c>
    </row>
    <row r="2313" spans="1:17" x14ac:dyDescent="0.2">
      <c r="A2313" t="s">
        <v>141</v>
      </c>
      <c r="B2313" s="141">
        <f t="shared" si="37"/>
        <v>3.13</v>
      </c>
      <c r="C2313" s="280">
        <v>45906</v>
      </c>
      <c r="D2313" s="279">
        <v>45909</v>
      </c>
      <c r="E2313" s="279">
        <v>45909</v>
      </c>
      <c r="F2313" s="132"/>
      <c r="G2313" s="132" t="s">
        <v>4647</v>
      </c>
      <c r="H2313" s="132" t="s">
        <v>373</v>
      </c>
      <c r="I2313" s="132" t="s">
        <v>1100</v>
      </c>
      <c r="J2313" s="132" t="s">
        <v>1730</v>
      </c>
      <c r="K2313" s="132" t="s">
        <v>1742</v>
      </c>
      <c r="L2313" s="132" t="s">
        <v>1743</v>
      </c>
      <c r="M2313" s="132" t="s">
        <v>6146</v>
      </c>
      <c r="N2313" s="132" t="s">
        <v>1105</v>
      </c>
      <c r="O2313" s="132" t="s">
        <v>6147</v>
      </c>
      <c r="P2313" s="132" t="s">
        <v>6064</v>
      </c>
      <c r="Q2313" s="132" t="s">
        <v>1108</v>
      </c>
    </row>
    <row r="2314" spans="1:17" x14ac:dyDescent="0.2">
      <c r="A2314" t="s">
        <v>141</v>
      </c>
      <c r="B2314" s="141">
        <f t="shared" si="37"/>
        <v>3.13</v>
      </c>
      <c r="C2314" s="280">
        <v>45906</v>
      </c>
      <c r="D2314" s="279">
        <v>45909</v>
      </c>
      <c r="E2314" s="279">
        <v>45909</v>
      </c>
      <c r="F2314" s="132"/>
      <c r="G2314" s="132" t="s">
        <v>5145</v>
      </c>
      <c r="H2314" s="132" t="s">
        <v>373</v>
      </c>
      <c r="I2314" s="132" t="s">
        <v>1100</v>
      </c>
      <c r="J2314" s="132" t="s">
        <v>1730</v>
      </c>
      <c r="K2314" s="132" t="s">
        <v>1742</v>
      </c>
      <c r="L2314" s="132" t="s">
        <v>1743</v>
      </c>
      <c r="M2314" s="132" t="s">
        <v>6148</v>
      </c>
      <c r="N2314" s="132" t="s">
        <v>1105</v>
      </c>
      <c r="O2314" s="281" t="s">
        <v>6149</v>
      </c>
      <c r="P2314" s="132" t="s">
        <v>6064</v>
      </c>
      <c r="Q2314" s="132" t="s">
        <v>1108</v>
      </c>
    </row>
    <row r="2315" spans="1:17" x14ac:dyDescent="0.2">
      <c r="A2315" t="s">
        <v>141</v>
      </c>
      <c r="B2315" s="141">
        <f t="shared" si="37"/>
        <v>3.11</v>
      </c>
      <c r="C2315" s="280">
        <v>45906</v>
      </c>
      <c r="D2315" s="279">
        <v>45909</v>
      </c>
      <c r="E2315" s="279">
        <v>45909</v>
      </c>
      <c r="F2315" s="132"/>
      <c r="G2315" s="132" t="s">
        <v>1108</v>
      </c>
      <c r="H2315" s="132" t="s">
        <v>373</v>
      </c>
      <c r="I2315" s="132" t="s">
        <v>1100</v>
      </c>
      <c r="J2315" s="132" t="s">
        <v>1730</v>
      </c>
      <c r="K2315" s="132" t="s">
        <v>1731</v>
      </c>
      <c r="L2315" s="132" t="s">
        <v>1732</v>
      </c>
      <c r="M2315" s="132" t="s">
        <v>6150</v>
      </c>
      <c r="N2315" s="132" t="s">
        <v>1112</v>
      </c>
      <c r="O2315" s="132" t="s">
        <v>6151</v>
      </c>
      <c r="P2315" s="132" t="s">
        <v>6064</v>
      </c>
      <c r="Q2315" s="132" t="s">
        <v>1108</v>
      </c>
    </row>
    <row r="2316" spans="1:17" x14ac:dyDescent="0.2">
      <c r="A2316" t="s">
        <v>141</v>
      </c>
      <c r="B2316" s="141">
        <f t="shared" si="37"/>
        <v>3.13</v>
      </c>
      <c r="C2316" s="280">
        <v>45906</v>
      </c>
      <c r="D2316" s="279">
        <v>45909</v>
      </c>
      <c r="E2316" s="279">
        <v>45909</v>
      </c>
      <c r="F2316" s="132"/>
      <c r="G2316" s="132" t="s">
        <v>5049</v>
      </c>
      <c r="H2316" s="132" t="s">
        <v>373</v>
      </c>
      <c r="I2316" s="132" t="s">
        <v>1100</v>
      </c>
      <c r="J2316" s="132" t="s">
        <v>1730</v>
      </c>
      <c r="K2316" s="132" t="s">
        <v>1742</v>
      </c>
      <c r="L2316" s="132" t="s">
        <v>1743</v>
      </c>
      <c r="M2316" s="132" t="s">
        <v>6152</v>
      </c>
      <c r="N2316" s="132" t="s">
        <v>1105</v>
      </c>
      <c r="O2316" s="132" t="s">
        <v>6153</v>
      </c>
      <c r="P2316" s="132" t="s">
        <v>6064</v>
      </c>
      <c r="Q2316" s="132" t="s">
        <v>1108</v>
      </c>
    </row>
    <row r="2317" spans="1:17" x14ac:dyDescent="0.2">
      <c r="A2317" t="s">
        <v>141</v>
      </c>
      <c r="B2317" s="141">
        <f t="shared" si="37"/>
        <v>3.11</v>
      </c>
      <c r="C2317" s="280">
        <v>45906</v>
      </c>
      <c r="D2317" s="279">
        <v>45909</v>
      </c>
      <c r="E2317" s="279">
        <v>45909</v>
      </c>
      <c r="F2317" s="132"/>
      <c r="G2317" s="132" t="s">
        <v>1108</v>
      </c>
      <c r="H2317" s="132" t="s">
        <v>373</v>
      </c>
      <c r="I2317" s="132" t="s">
        <v>1100</v>
      </c>
      <c r="J2317" s="132" t="s">
        <v>1730</v>
      </c>
      <c r="K2317" s="132" t="s">
        <v>1731</v>
      </c>
      <c r="L2317" s="132" t="s">
        <v>1732</v>
      </c>
      <c r="M2317" s="132" t="s">
        <v>6154</v>
      </c>
      <c r="N2317" s="132" t="s">
        <v>1112</v>
      </c>
      <c r="O2317" s="132" t="s">
        <v>6155</v>
      </c>
      <c r="P2317" s="132" t="s">
        <v>6064</v>
      </c>
      <c r="Q2317" s="132" t="s">
        <v>1108</v>
      </c>
    </row>
    <row r="2318" spans="1:17" x14ac:dyDescent="0.2">
      <c r="A2318" t="s">
        <v>141</v>
      </c>
      <c r="B2318" s="141">
        <f t="shared" si="37"/>
        <v>3.13</v>
      </c>
      <c r="C2318" s="280">
        <v>45906</v>
      </c>
      <c r="D2318" s="279">
        <v>45909</v>
      </c>
      <c r="E2318" s="279">
        <v>45909</v>
      </c>
      <c r="F2318" s="132"/>
      <c r="G2318" s="132" t="s">
        <v>1108</v>
      </c>
      <c r="H2318" s="132" t="s">
        <v>373</v>
      </c>
      <c r="I2318" s="132" t="s">
        <v>1100</v>
      </c>
      <c r="J2318" s="132" t="s">
        <v>1730</v>
      </c>
      <c r="K2318" s="132" t="s">
        <v>1742</v>
      </c>
      <c r="L2318" s="132" t="s">
        <v>1743</v>
      </c>
      <c r="M2318" s="132" t="s">
        <v>6156</v>
      </c>
      <c r="N2318" s="132" t="s">
        <v>1117</v>
      </c>
      <c r="O2318" s="132" t="s">
        <v>6157</v>
      </c>
      <c r="P2318" s="132" t="s">
        <v>6064</v>
      </c>
      <c r="Q2318" s="132" t="s">
        <v>1108</v>
      </c>
    </row>
    <row r="2319" spans="1:17" x14ac:dyDescent="0.2">
      <c r="A2319" t="s">
        <v>141</v>
      </c>
      <c r="B2319" s="141">
        <f t="shared" si="37"/>
        <v>3.11</v>
      </c>
      <c r="C2319" s="280">
        <v>45906</v>
      </c>
      <c r="D2319" s="279">
        <v>45909</v>
      </c>
      <c r="E2319" s="279">
        <v>45909</v>
      </c>
      <c r="F2319" s="132"/>
      <c r="G2319" s="132" t="s">
        <v>1108</v>
      </c>
      <c r="H2319" s="132" t="s">
        <v>373</v>
      </c>
      <c r="I2319" s="132" t="s">
        <v>1100</v>
      </c>
      <c r="J2319" s="132" t="s">
        <v>1730</v>
      </c>
      <c r="K2319" s="132" t="s">
        <v>1731</v>
      </c>
      <c r="L2319" s="132" t="s">
        <v>1732</v>
      </c>
      <c r="M2319" s="132" t="s">
        <v>6158</v>
      </c>
      <c r="N2319" s="132" t="s">
        <v>1112</v>
      </c>
      <c r="O2319" s="132" t="s">
        <v>6159</v>
      </c>
      <c r="P2319" s="132" t="s">
        <v>6064</v>
      </c>
      <c r="Q2319" s="132" t="s">
        <v>1108</v>
      </c>
    </row>
    <row r="2320" spans="1:17" x14ac:dyDescent="0.2">
      <c r="A2320" t="s">
        <v>141</v>
      </c>
      <c r="B2320" s="141">
        <f t="shared" si="37"/>
        <v>3.13</v>
      </c>
      <c r="C2320" s="280">
        <v>45906</v>
      </c>
      <c r="D2320" s="279">
        <v>45909</v>
      </c>
      <c r="E2320" s="279">
        <v>45909</v>
      </c>
      <c r="F2320" s="132"/>
      <c r="G2320" s="132" t="s">
        <v>1108</v>
      </c>
      <c r="H2320" s="132" t="s">
        <v>373</v>
      </c>
      <c r="I2320" s="132" t="s">
        <v>1100</v>
      </c>
      <c r="J2320" s="132" t="s">
        <v>1730</v>
      </c>
      <c r="K2320" s="132" t="s">
        <v>1742</v>
      </c>
      <c r="L2320" s="132" t="s">
        <v>1743</v>
      </c>
      <c r="M2320" s="132" t="s">
        <v>6160</v>
      </c>
      <c r="N2320" s="132" t="s">
        <v>1117</v>
      </c>
      <c r="O2320" s="132" t="s">
        <v>6161</v>
      </c>
      <c r="P2320" s="132" t="s">
        <v>6064</v>
      </c>
      <c r="Q2320" s="132" t="s">
        <v>1108</v>
      </c>
    </row>
    <row r="2321" spans="1:17" x14ac:dyDescent="0.2">
      <c r="A2321" t="s">
        <v>141</v>
      </c>
      <c r="B2321" s="141">
        <f t="shared" si="37"/>
        <v>3.13</v>
      </c>
      <c r="C2321" s="280">
        <v>45906</v>
      </c>
      <c r="D2321" s="279">
        <v>45909</v>
      </c>
      <c r="E2321" s="279">
        <v>45909</v>
      </c>
      <c r="F2321" s="132"/>
      <c r="G2321" s="132" t="s">
        <v>5362</v>
      </c>
      <c r="H2321" s="132" t="s">
        <v>373</v>
      </c>
      <c r="I2321" s="132" t="s">
        <v>1100</v>
      </c>
      <c r="J2321" s="132" t="s">
        <v>1730</v>
      </c>
      <c r="K2321" s="132" t="s">
        <v>1742</v>
      </c>
      <c r="L2321" s="132" t="s">
        <v>1743</v>
      </c>
      <c r="M2321" s="132" t="s">
        <v>6162</v>
      </c>
      <c r="N2321" s="132" t="s">
        <v>1105</v>
      </c>
      <c r="O2321" s="132" t="s">
        <v>6163</v>
      </c>
      <c r="P2321" s="132" t="s">
        <v>6064</v>
      </c>
      <c r="Q2321" s="132" t="s">
        <v>1108</v>
      </c>
    </row>
    <row r="2322" spans="1:17" x14ac:dyDescent="0.2">
      <c r="A2322" t="s">
        <v>141</v>
      </c>
      <c r="B2322" s="141">
        <f t="shared" si="37"/>
        <v>3.13</v>
      </c>
      <c r="C2322" s="280">
        <v>45906</v>
      </c>
      <c r="D2322" s="279">
        <v>45909</v>
      </c>
      <c r="E2322" s="279">
        <v>45909</v>
      </c>
      <c r="F2322" s="132"/>
      <c r="G2322" s="132" t="s">
        <v>5509</v>
      </c>
      <c r="H2322" s="132" t="s">
        <v>373</v>
      </c>
      <c r="I2322" s="132" t="s">
        <v>1100</v>
      </c>
      <c r="J2322" s="132" t="s">
        <v>1730</v>
      </c>
      <c r="K2322" s="132" t="s">
        <v>1742</v>
      </c>
      <c r="L2322" s="132" t="s">
        <v>1743</v>
      </c>
      <c r="M2322" s="132" t="s">
        <v>6164</v>
      </c>
      <c r="N2322" s="132" t="s">
        <v>1105</v>
      </c>
      <c r="O2322" s="132" t="s">
        <v>6165</v>
      </c>
      <c r="P2322" s="132" t="s">
        <v>6064</v>
      </c>
      <c r="Q2322" s="132" t="s">
        <v>1108</v>
      </c>
    </row>
    <row r="2323" spans="1:17" x14ac:dyDescent="0.2">
      <c r="A2323" t="s">
        <v>141</v>
      </c>
      <c r="B2323" s="141">
        <f t="shared" si="37"/>
        <v>3.13</v>
      </c>
      <c r="C2323" s="280">
        <v>45906</v>
      </c>
      <c r="D2323" s="279">
        <v>45909</v>
      </c>
      <c r="E2323" s="279">
        <v>45909</v>
      </c>
      <c r="F2323" s="132"/>
      <c r="G2323" s="132" t="s">
        <v>1108</v>
      </c>
      <c r="H2323" s="132" t="s">
        <v>373</v>
      </c>
      <c r="I2323" s="132" t="s">
        <v>1100</v>
      </c>
      <c r="J2323" s="132" t="s">
        <v>1730</v>
      </c>
      <c r="K2323" s="132" t="s">
        <v>1742</v>
      </c>
      <c r="L2323" s="132" t="s">
        <v>1743</v>
      </c>
      <c r="M2323" s="132" t="s">
        <v>6166</v>
      </c>
      <c r="N2323" s="132" t="s">
        <v>1117</v>
      </c>
      <c r="O2323" s="132" t="s">
        <v>6167</v>
      </c>
      <c r="P2323" s="132" t="s">
        <v>6064</v>
      </c>
      <c r="Q2323" s="132" t="s">
        <v>1108</v>
      </c>
    </row>
    <row r="2324" spans="1:17" x14ac:dyDescent="0.2">
      <c r="A2324" t="s">
        <v>142</v>
      </c>
      <c r="B2324" s="141">
        <f t="shared" si="37"/>
        <v>8.0400000000000009</v>
      </c>
      <c r="C2324" s="280">
        <v>45906</v>
      </c>
      <c r="D2324" s="279">
        <v>45909</v>
      </c>
      <c r="E2324" s="279">
        <v>45909</v>
      </c>
      <c r="F2324" s="132"/>
      <c r="G2324" s="132" t="s">
        <v>1108</v>
      </c>
      <c r="H2324" s="132" t="s">
        <v>373</v>
      </c>
      <c r="I2324" s="132" t="s">
        <v>1100</v>
      </c>
      <c r="J2324" s="132" t="s">
        <v>6133</v>
      </c>
      <c r="K2324" s="132" t="s">
        <v>3681</v>
      </c>
      <c r="L2324" s="132" t="s">
        <v>1226</v>
      </c>
      <c r="M2324" s="132" t="s">
        <v>6168</v>
      </c>
      <c r="N2324" s="132" t="s">
        <v>1117</v>
      </c>
      <c r="O2324" s="132" t="s">
        <v>6169</v>
      </c>
      <c r="P2324" s="132" t="s">
        <v>6064</v>
      </c>
      <c r="Q2324" s="132" t="s">
        <v>1108</v>
      </c>
    </row>
    <row r="2325" spans="1:17" x14ac:dyDescent="0.2">
      <c r="A2325" t="s">
        <v>141</v>
      </c>
      <c r="B2325" s="141">
        <f t="shared" si="37"/>
        <v>3.13</v>
      </c>
      <c r="C2325" s="280">
        <v>45906</v>
      </c>
      <c r="D2325" s="279">
        <v>45909</v>
      </c>
      <c r="E2325" s="279">
        <v>45909</v>
      </c>
      <c r="F2325" s="132"/>
      <c r="G2325" s="132" t="s">
        <v>1108</v>
      </c>
      <c r="H2325" s="132" t="s">
        <v>373</v>
      </c>
      <c r="I2325" s="132" t="s">
        <v>1100</v>
      </c>
      <c r="J2325" s="132" t="s">
        <v>1730</v>
      </c>
      <c r="K2325" s="132" t="s">
        <v>1742</v>
      </c>
      <c r="L2325" s="132" t="s">
        <v>1743</v>
      </c>
      <c r="M2325" s="132" t="s">
        <v>6170</v>
      </c>
      <c r="N2325" s="132" t="s">
        <v>1117</v>
      </c>
      <c r="O2325" s="132" t="s">
        <v>6171</v>
      </c>
      <c r="P2325" s="132" t="s">
        <v>6064</v>
      </c>
      <c r="Q2325" s="132" t="s">
        <v>1108</v>
      </c>
    </row>
    <row r="2326" spans="1:17" x14ac:dyDescent="0.2">
      <c r="A2326" t="s">
        <v>141</v>
      </c>
      <c r="B2326" s="141">
        <f t="shared" si="37"/>
        <v>3.13</v>
      </c>
      <c r="C2326" s="280">
        <v>45906</v>
      </c>
      <c r="D2326" s="279">
        <v>45909</v>
      </c>
      <c r="E2326" s="279">
        <v>45909</v>
      </c>
      <c r="F2326" s="132"/>
      <c r="G2326" s="132" t="s">
        <v>1108</v>
      </c>
      <c r="H2326" s="132" t="s">
        <v>373</v>
      </c>
      <c r="I2326" s="132" t="s">
        <v>1100</v>
      </c>
      <c r="J2326" s="132" t="s">
        <v>1730</v>
      </c>
      <c r="K2326" s="132" t="s">
        <v>1742</v>
      </c>
      <c r="L2326" s="132" t="s">
        <v>1743</v>
      </c>
      <c r="M2326" s="132" t="s">
        <v>6172</v>
      </c>
      <c r="N2326" s="132" t="s">
        <v>1117</v>
      </c>
      <c r="O2326" s="132" t="s">
        <v>6173</v>
      </c>
      <c r="P2326" s="132" t="s">
        <v>6064</v>
      </c>
      <c r="Q2326" s="132" t="s">
        <v>1108</v>
      </c>
    </row>
    <row r="2327" spans="1:17" x14ac:dyDescent="0.2">
      <c r="A2327" t="s">
        <v>141</v>
      </c>
      <c r="B2327" s="141">
        <f t="shared" si="37"/>
        <v>3.13</v>
      </c>
      <c r="C2327" s="280">
        <v>45906</v>
      </c>
      <c r="D2327" s="279">
        <v>45909</v>
      </c>
      <c r="E2327" s="279">
        <v>45909</v>
      </c>
      <c r="F2327" s="132"/>
      <c r="G2327" s="132" t="s">
        <v>1108</v>
      </c>
      <c r="H2327" s="132" t="s">
        <v>373</v>
      </c>
      <c r="I2327" s="132" t="s">
        <v>1100</v>
      </c>
      <c r="J2327" s="132" t="s">
        <v>1730</v>
      </c>
      <c r="K2327" s="132" t="s">
        <v>1742</v>
      </c>
      <c r="L2327" s="132" t="s">
        <v>1743</v>
      </c>
      <c r="M2327" s="132" t="s">
        <v>6174</v>
      </c>
      <c r="N2327" s="132" t="s">
        <v>1117</v>
      </c>
      <c r="O2327" s="132" t="s">
        <v>6175</v>
      </c>
      <c r="P2327" s="132" t="s">
        <v>6064</v>
      </c>
      <c r="Q2327" s="132" t="s">
        <v>1108</v>
      </c>
    </row>
    <row r="2328" spans="1:17" x14ac:dyDescent="0.2">
      <c r="A2328" t="s">
        <v>141</v>
      </c>
      <c r="B2328" s="141">
        <f t="shared" si="37"/>
        <v>3.09</v>
      </c>
      <c r="C2328" s="280">
        <v>45906</v>
      </c>
      <c r="D2328" s="279">
        <v>45909</v>
      </c>
      <c r="E2328" s="279">
        <v>45909</v>
      </c>
      <c r="F2328" s="132"/>
      <c r="G2328" s="132" t="s">
        <v>1108</v>
      </c>
      <c r="H2328" s="132" t="s">
        <v>373</v>
      </c>
      <c r="I2328" s="132" t="s">
        <v>1100</v>
      </c>
      <c r="J2328" s="132" t="s">
        <v>1730</v>
      </c>
      <c r="K2328" s="132" t="s">
        <v>1755</v>
      </c>
      <c r="L2328" s="132" t="s">
        <v>5252</v>
      </c>
      <c r="M2328" s="132" t="s">
        <v>6176</v>
      </c>
      <c r="N2328" s="132" t="s">
        <v>1117</v>
      </c>
      <c r="O2328" s="132" t="s">
        <v>6177</v>
      </c>
      <c r="P2328" s="132" t="s">
        <v>6064</v>
      </c>
      <c r="Q2328" s="132" t="s">
        <v>1108</v>
      </c>
    </row>
    <row r="2329" spans="1:17" x14ac:dyDescent="0.2">
      <c r="A2329" t="s">
        <v>141</v>
      </c>
      <c r="B2329" s="141">
        <f t="shared" si="37"/>
        <v>3.09</v>
      </c>
      <c r="C2329" s="280">
        <v>45906</v>
      </c>
      <c r="D2329" s="279">
        <v>45909</v>
      </c>
      <c r="E2329" s="279">
        <v>45909</v>
      </c>
      <c r="F2329" s="132"/>
      <c r="G2329" s="132" t="s">
        <v>4845</v>
      </c>
      <c r="H2329" s="132" t="s">
        <v>373</v>
      </c>
      <c r="I2329" s="132" t="s">
        <v>1100</v>
      </c>
      <c r="J2329" s="132" t="s">
        <v>1730</v>
      </c>
      <c r="K2329" s="132" t="s">
        <v>1755</v>
      </c>
      <c r="L2329" s="132" t="s">
        <v>5252</v>
      </c>
      <c r="M2329" s="132" t="s">
        <v>6178</v>
      </c>
      <c r="N2329" s="132" t="s">
        <v>1105</v>
      </c>
      <c r="O2329" s="132" t="s">
        <v>6179</v>
      </c>
      <c r="P2329" s="132" t="s">
        <v>6064</v>
      </c>
      <c r="Q2329" s="132" t="s">
        <v>1108</v>
      </c>
    </row>
    <row r="2330" spans="1:17" x14ac:dyDescent="0.2">
      <c r="A2330" t="s">
        <v>141</v>
      </c>
      <c r="B2330" s="141">
        <f t="shared" si="37"/>
        <v>3.13</v>
      </c>
      <c r="C2330" s="280">
        <v>45906</v>
      </c>
      <c r="D2330" s="279">
        <v>45909</v>
      </c>
      <c r="E2330" s="279">
        <v>45909</v>
      </c>
      <c r="F2330" s="132"/>
      <c r="G2330" s="132" t="s">
        <v>1108</v>
      </c>
      <c r="H2330" s="132" t="s">
        <v>373</v>
      </c>
      <c r="I2330" s="132" t="s">
        <v>1100</v>
      </c>
      <c r="J2330" s="132" t="s">
        <v>1730</v>
      </c>
      <c r="K2330" s="132" t="s">
        <v>1742</v>
      </c>
      <c r="L2330" s="132" t="s">
        <v>1743</v>
      </c>
      <c r="M2330" s="132" t="s">
        <v>6180</v>
      </c>
      <c r="N2330" s="132" t="s">
        <v>1117</v>
      </c>
      <c r="O2330" s="132" t="s">
        <v>6181</v>
      </c>
      <c r="P2330" s="132" t="s">
        <v>6064</v>
      </c>
      <c r="Q2330" s="132" t="s">
        <v>1108</v>
      </c>
    </row>
    <row r="2331" spans="1:17" x14ac:dyDescent="0.2">
      <c r="A2331" t="s">
        <v>293</v>
      </c>
      <c r="B2331" s="141">
        <f t="shared" si="37"/>
        <v>53.65</v>
      </c>
      <c r="C2331" s="280">
        <v>45906</v>
      </c>
      <c r="D2331" s="279">
        <v>45909</v>
      </c>
      <c r="E2331" s="279">
        <v>45909</v>
      </c>
      <c r="F2331" s="132"/>
      <c r="G2331" s="132" t="s">
        <v>4881</v>
      </c>
      <c r="H2331" s="132" t="s">
        <v>373</v>
      </c>
      <c r="I2331" s="132" t="s">
        <v>1100</v>
      </c>
      <c r="J2331" s="132" t="s">
        <v>5602</v>
      </c>
      <c r="K2331" s="132" t="s">
        <v>5608</v>
      </c>
      <c r="L2331" s="132" t="s">
        <v>5609</v>
      </c>
      <c r="M2331" s="281" t="s">
        <v>6182</v>
      </c>
      <c r="N2331" s="132" t="s">
        <v>1105</v>
      </c>
      <c r="O2331" s="132" t="s">
        <v>6183</v>
      </c>
      <c r="P2331" s="132" t="s">
        <v>6064</v>
      </c>
      <c r="Q2331" s="132" t="s">
        <v>1108</v>
      </c>
    </row>
    <row r="2332" spans="1:17" x14ac:dyDescent="0.2">
      <c r="A2332" t="s">
        <v>141</v>
      </c>
      <c r="B2332" s="141">
        <f t="shared" si="37"/>
        <v>3.13</v>
      </c>
      <c r="C2332" s="280">
        <v>45907</v>
      </c>
      <c r="D2332" s="279">
        <v>45909</v>
      </c>
      <c r="E2332" s="279">
        <v>45909</v>
      </c>
      <c r="F2332" s="132"/>
      <c r="G2332" s="132" t="s">
        <v>1108</v>
      </c>
      <c r="H2332" s="132" t="s">
        <v>373</v>
      </c>
      <c r="I2332" s="132" t="s">
        <v>1100</v>
      </c>
      <c r="J2332" s="132" t="s">
        <v>1730</v>
      </c>
      <c r="K2332" s="132" t="s">
        <v>1742</v>
      </c>
      <c r="L2332" s="132" t="s">
        <v>1743</v>
      </c>
      <c r="M2332" s="132" t="s">
        <v>6184</v>
      </c>
      <c r="N2332" s="132" t="s">
        <v>1117</v>
      </c>
      <c r="O2332" s="132" t="s">
        <v>6185</v>
      </c>
      <c r="P2332" s="132" t="s">
        <v>6064</v>
      </c>
      <c r="Q2332" s="132" t="s">
        <v>1108</v>
      </c>
    </row>
    <row r="2333" spans="1:17" x14ac:dyDescent="0.2">
      <c r="A2333" t="s">
        <v>142</v>
      </c>
      <c r="B2333" s="141">
        <f t="shared" si="37"/>
        <v>4.6000000000000005</v>
      </c>
      <c r="C2333" s="280">
        <v>45907</v>
      </c>
      <c r="D2333" s="279">
        <v>45909</v>
      </c>
      <c r="E2333" s="279">
        <v>45909</v>
      </c>
      <c r="F2333" s="132"/>
      <c r="G2333" s="132" t="s">
        <v>1108</v>
      </c>
      <c r="H2333" s="132" t="s">
        <v>373</v>
      </c>
      <c r="I2333" s="132" t="s">
        <v>1100</v>
      </c>
      <c r="J2333" s="132" t="s">
        <v>2671</v>
      </c>
      <c r="K2333" s="132" t="s">
        <v>2672</v>
      </c>
      <c r="L2333" s="132" t="s">
        <v>2673</v>
      </c>
      <c r="M2333" s="132" t="s">
        <v>6186</v>
      </c>
      <c r="N2333" s="132" t="s">
        <v>1117</v>
      </c>
      <c r="O2333" s="132" t="s">
        <v>6187</v>
      </c>
      <c r="P2333" s="132" t="s">
        <v>6064</v>
      </c>
      <c r="Q2333" s="132" t="s">
        <v>1108</v>
      </c>
    </row>
    <row r="2334" spans="1:17" x14ac:dyDescent="0.2">
      <c r="A2334" t="s">
        <v>141</v>
      </c>
      <c r="B2334" s="141">
        <f t="shared" si="37"/>
        <v>3.11</v>
      </c>
      <c r="C2334" s="280">
        <v>45907</v>
      </c>
      <c r="D2334" s="279">
        <v>45909</v>
      </c>
      <c r="E2334" s="279">
        <v>45909</v>
      </c>
      <c r="F2334" s="132"/>
      <c r="G2334" s="132" t="s">
        <v>1108</v>
      </c>
      <c r="H2334" s="132" t="s">
        <v>373</v>
      </c>
      <c r="I2334" s="132" t="s">
        <v>1100</v>
      </c>
      <c r="J2334" s="132" t="s">
        <v>1730</v>
      </c>
      <c r="K2334" s="132" t="s">
        <v>1731</v>
      </c>
      <c r="L2334" s="132" t="s">
        <v>1732</v>
      </c>
      <c r="M2334" s="132" t="s">
        <v>6188</v>
      </c>
      <c r="N2334" s="132" t="s">
        <v>1112</v>
      </c>
      <c r="O2334" s="132" t="s">
        <v>6189</v>
      </c>
      <c r="P2334" s="132" t="s">
        <v>6064</v>
      </c>
      <c r="Q2334" s="132" t="s">
        <v>1108</v>
      </c>
    </row>
    <row r="2335" spans="1:17" x14ac:dyDescent="0.2">
      <c r="A2335" t="s">
        <v>142</v>
      </c>
      <c r="B2335" s="141">
        <f t="shared" si="37"/>
        <v>4.6000000000000005</v>
      </c>
      <c r="C2335" s="280">
        <v>45907</v>
      </c>
      <c r="D2335" s="279">
        <v>45909</v>
      </c>
      <c r="E2335" s="279">
        <v>45909</v>
      </c>
      <c r="F2335" s="132"/>
      <c r="G2335" s="132" t="s">
        <v>1108</v>
      </c>
      <c r="H2335" s="132" t="s">
        <v>373</v>
      </c>
      <c r="I2335" s="132" t="s">
        <v>1100</v>
      </c>
      <c r="J2335" s="132" t="s">
        <v>2671</v>
      </c>
      <c r="K2335" s="132" t="s">
        <v>2672</v>
      </c>
      <c r="L2335" s="132" t="s">
        <v>2673</v>
      </c>
      <c r="M2335" s="132" t="s">
        <v>6190</v>
      </c>
      <c r="N2335" s="132" t="s">
        <v>1117</v>
      </c>
      <c r="O2335" s="132" t="s">
        <v>6191</v>
      </c>
      <c r="P2335" s="132" t="s">
        <v>6064</v>
      </c>
      <c r="Q2335" s="132" t="s">
        <v>1108</v>
      </c>
    </row>
    <row r="2336" spans="1:17" x14ac:dyDescent="0.2">
      <c r="A2336" t="s">
        <v>141</v>
      </c>
      <c r="B2336" s="141">
        <f t="shared" si="37"/>
        <v>3.13</v>
      </c>
      <c r="C2336" s="280">
        <v>45907</v>
      </c>
      <c r="D2336" s="279">
        <v>45909</v>
      </c>
      <c r="E2336" s="279">
        <v>45909</v>
      </c>
      <c r="F2336" s="132"/>
      <c r="G2336" s="132" t="s">
        <v>4824</v>
      </c>
      <c r="H2336" s="132" t="s">
        <v>373</v>
      </c>
      <c r="I2336" s="132" t="s">
        <v>1100</v>
      </c>
      <c r="J2336" s="132" t="s">
        <v>1730</v>
      </c>
      <c r="K2336" s="132" t="s">
        <v>1742</v>
      </c>
      <c r="L2336" s="132" t="s">
        <v>1743</v>
      </c>
      <c r="M2336" s="132" t="s">
        <v>6192</v>
      </c>
      <c r="N2336" s="132" t="s">
        <v>1105</v>
      </c>
      <c r="O2336" s="132" t="s">
        <v>6193</v>
      </c>
      <c r="P2336" s="132" t="s">
        <v>6064</v>
      </c>
      <c r="Q2336" s="132" t="s">
        <v>1108</v>
      </c>
    </row>
    <row r="2337" spans="1:17" x14ac:dyDescent="0.2">
      <c r="A2337" t="s">
        <v>141</v>
      </c>
      <c r="B2337" s="141">
        <f t="shared" si="37"/>
        <v>3.13</v>
      </c>
      <c r="C2337" s="280">
        <v>45907</v>
      </c>
      <c r="D2337" s="279">
        <v>45909</v>
      </c>
      <c r="E2337" s="279">
        <v>45909</v>
      </c>
      <c r="F2337" s="132"/>
      <c r="G2337" s="132" t="s">
        <v>1108</v>
      </c>
      <c r="H2337" s="132" t="s">
        <v>373</v>
      </c>
      <c r="I2337" s="132" t="s">
        <v>1100</v>
      </c>
      <c r="J2337" s="132" t="s">
        <v>1730</v>
      </c>
      <c r="K2337" s="132" t="s">
        <v>1742</v>
      </c>
      <c r="L2337" s="132" t="s">
        <v>1743</v>
      </c>
      <c r="M2337" s="132" t="s">
        <v>6194</v>
      </c>
      <c r="N2337" s="132" t="s">
        <v>1117</v>
      </c>
      <c r="O2337" s="132" t="s">
        <v>6195</v>
      </c>
      <c r="P2337" s="132" t="s">
        <v>6064</v>
      </c>
      <c r="Q2337" s="132" t="s">
        <v>1108</v>
      </c>
    </row>
    <row r="2338" spans="1:17" x14ac:dyDescent="0.2">
      <c r="A2338" t="s">
        <v>141</v>
      </c>
      <c r="B2338" s="141">
        <f t="shared" si="37"/>
        <v>3.13</v>
      </c>
      <c r="C2338" s="280">
        <v>45907</v>
      </c>
      <c r="D2338" s="279">
        <v>45909</v>
      </c>
      <c r="E2338" s="279">
        <v>45909</v>
      </c>
      <c r="F2338" s="132"/>
      <c r="G2338" s="132" t="s">
        <v>1108</v>
      </c>
      <c r="H2338" s="132" t="s">
        <v>373</v>
      </c>
      <c r="I2338" s="132" t="s">
        <v>1100</v>
      </c>
      <c r="J2338" s="132" t="s">
        <v>1730</v>
      </c>
      <c r="K2338" s="132" t="s">
        <v>1742</v>
      </c>
      <c r="L2338" s="132" t="s">
        <v>1743</v>
      </c>
      <c r="M2338" s="132" t="s">
        <v>6196</v>
      </c>
      <c r="N2338" s="132" t="s">
        <v>1117</v>
      </c>
      <c r="O2338" s="132" t="s">
        <v>6197</v>
      </c>
      <c r="P2338" s="132" t="s">
        <v>6064</v>
      </c>
      <c r="Q2338" s="132" t="s">
        <v>1108</v>
      </c>
    </row>
    <row r="2339" spans="1:17" x14ac:dyDescent="0.2">
      <c r="A2339" t="s">
        <v>141</v>
      </c>
      <c r="B2339" s="141">
        <f t="shared" si="37"/>
        <v>3.13</v>
      </c>
      <c r="C2339" s="280">
        <v>45907</v>
      </c>
      <c r="D2339" s="279">
        <v>45909</v>
      </c>
      <c r="E2339" s="279">
        <v>45909</v>
      </c>
      <c r="F2339" s="132"/>
      <c r="G2339" s="132" t="s">
        <v>1108</v>
      </c>
      <c r="H2339" s="132" t="s">
        <v>373</v>
      </c>
      <c r="I2339" s="132" t="s">
        <v>1100</v>
      </c>
      <c r="J2339" s="132" t="s">
        <v>1730</v>
      </c>
      <c r="K2339" s="132" t="s">
        <v>1742</v>
      </c>
      <c r="L2339" s="132" t="s">
        <v>1743</v>
      </c>
      <c r="M2339" s="132" t="s">
        <v>6198</v>
      </c>
      <c r="N2339" s="132" t="s">
        <v>1117</v>
      </c>
      <c r="O2339" s="132" t="s">
        <v>6199</v>
      </c>
      <c r="P2339" s="132" t="s">
        <v>6064</v>
      </c>
      <c r="Q2339" s="132" t="s">
        <v>1108</v>
      </c>
    </row>
    <row r="2340" spans="1:17" x14ac:dyDescent="0.2">
      <c r="A2340" t="s">
        <v>141</v>
      </c>
      <c r="B2340" s="141">
        <f t="shared" si="37"/>
        <v>3.13</v>
      </c>
      <c r="C2340" s="280">
        <v>45907</v>
      </c>
      <c r="D2340" s="279">
        <v>45909</v>
      </c>
      <c r="E2340" s="279">
        <v>45909</v>
      </c>
      <c r="F2340" s="132"/>
      <c r="G2340" s="132" t="s">
        <v>5346</v>
      </c>
      <c r="H2340" s="132" t="s">
        <v>373</v>
      </c>
      <c r="I2340" s="132" t="s">
        <v>1100</v>
      </c>
      <c r="J2340" s="132" t="s">
        <v>1730</v>
      </c>
      <c r="K2340" s="132" t="s">
        <v>1742</v>
      </c>
      <c r="L2340" s="132" t="s">
        <v>1743</v>
      </c>
      <c r="M2340" s="132" t="s">
        <v>6200</v>
      </c>
      <c r="N2340" s="132" t="s">
        <v>1105</v>
      </c>
      <c r="O2340" s="132" t="s">
        <v>6201</v>
      </c>
      <c r="P2340" s="132" t="s">
        <v>6064</v>
      </c>
      <c r="Q2340" s="132" t="s">
        <v>1108</v>
      </c>
    </row>
    <row r="2341" spans="1:17" x14ac:dyDescent="0.2">
      <c r="A2341" t="s">
        <v>142</v>
      </c>
      <c r="B2341" s="141">
        <f t="shared" si="37"/>
        <v>4.6000000000000005</v>
      </c>
      <c r="C2341" s="280">
        <v>45907</v>
      </c>
      <c r="D2341" s="279">
        <v>45909</v>
      </c>
      <c r="E2341" s="279">
        <v>45909</v>
      </c>
      <c r="F2341" s="132"/>
      <c r="G2341" s="132" t="s">
        <v>1108</v>
      </c>
      <c r="H2341" s="132" t="s">
        <v>373</v>
      </c>
      <c r="I2341" s="132" t="s">
        <v>1100</v>
      </c>
      <c r="J2341" s="132" t="s">
        <v>2671</v>
      </c>
      <c r="K2341" s="132" t="s">
        <v>2672</v>
      </c>
      <c r="L2341" s="132" t="s">
        <v>2673</v>
      </c>
      <c r="M2341" s="132" t="s">
        <v>6202</v>
      </c>
      <c r="N2341" s="132" t="s">
        <v>1117</v>
      </c>
      <c r="O2341" s="132" t="s">
        <v>6203</v>
      </c>
      <c r="P2341" s="132" t="s">
        <v>6064</v>
      </c>
      <c r="Q2341" s="132" t="s">
        <v>1108</v>
      </c>
    </row>
    <row r="2342" spans="1:17" x14ac:dyDescent="0.2">
      <c r="A2342" t="s">
        <v>141</v>
      </c>
      <c r="B2342" s="141">
        <f t="shared" si="37"/>
        <v>3.13</v>
      </c>
      <c r="C2342" s="280">
        <v>45907</v>
      </c>
      <c r="D2342" s="279">
        <v>45909</v>
      </c>
      <c r="E2342" s="279">
        <v>45909</v>
      </c>
      <c r="F2342" s="132"/>
      <c r="G2342" s="132" t="s">
        <v>4699</v>
      </c>
      <c r="H2342" s="132" t="s">
        <v>373</v>
      </c>
      <c r="I2342" s="132" t="s">
        <v>1100</v>
      </c>
      <c r="J2342" s="132" t="s">
        <v>1730</v>
      </c>
      <c r="K2342" s="132" t="s">
        <v>1742</v>
      </c>
      <c r="L2342" s="132" t="s">
        <v>1743</v>
      </c>
      <c r="M2342" s="132" t="s">
        <v>6204</v>
      </c>
      <c r="N2342" s="132" t="s">
        <v>1105</v>
      </c>
      <c r="O2342" s="132" t="s">
        <v>6205</v>
      </c>
      <c r="P2342" s="132" t="s">
        <v>6064</v>
      </c>
      <c r="Q2342" s="132" t="s">
        <v>1108</v>
      </c>
    </row>
    <row r="2343" spans="1:17" x14ac:dyDescent="0.2">
      <c r="A2343" t="s">
        <v>141</v>
      </c>
      <c r="B2343" s="141">
        <f t="shared" si="37"/>
        <v>3.13</v>
      </c>
      <c r="C2343" s="280">
        <v>45907</v>
      </c>
      <c r="D2343" s="279">
        <v>45909</v>
      </c>
      <c r="E2343" s="279">
        <v>45909</v>
      </c>
      <c r="F2343" s="132"/>
      <c r="G2343" s="132" t="s">
        <v>1108</v>
      </c>
      <c r="H2343" s="132" t="s">
        <v>373</v>
      </c>
      <c r="I2343" s="132" t="s">
        <v>1100</v>
      </c>
      <c r="J2343" s="132" t="s">
        <v>1730</v>
      </c>
      <c r="K2343" s="132" t="s">
        <v>1742</v>
      </c>
      <c r="L2343" s="132" t="s">
        <v>1743</v>
      </c>
      <c r="M2343" s="132" t="s">
        <v>6206</v>
      </c>
      <c r="N2343" s="132" t="s">
        <v>1117</v>
      </c>
      <c r="O2343" s="132" t="s">
        <v>6207</v>
      </c>
      <c r="P2343" s="132" t="s">
        <v>6064</v>
      </c>
      <c r="Q2343" s="132" t="s">
        <v>1108</v>
      </c>
    </row>
    <row r="2344" spans="1:17" x14ac:dyDescent="0.2">
      <c r="A2344" t="s">
        <v>141</v>
      </c>
      <c r="B2344" s="141">
        <f t="shared" si="37"/>
        <v>3.13</v>
      </c>
      <c r="C2344" s="280">
        <v>45907</v>
      </c>
      <c r="D2344" s="279">
        <v>45909</v>
      </c>
      <c r="E2344" s="279">
        <v>45909</v>
      </c>
      <c r="F2344" s="132"/>
      <c r="G2344" s="132" t="s">
        <v>4780</v>
      </c>
      <c r="H2344" s="132" t="s">
        <v>373</v>
      </c>
      <c r="I2344" s="132" t="s">
        <v>1100</v>
      </c>
      <c r="J2344" s="132" t="s">
        <v>1730</v>
      </c>
      <c r="K2344" s="132" t="s">
        <v>1742</v>
      </c>
      <c r="L2344" s="132" t="s">
        <v>1743</v>
      </c>
      <c r="M2344" s="132" t="s">
        <v>6208</v>
      </c>
      <c r="N2344" s="132" t="s">
        <v>1105</v>
      </c>
      <c r="O2344" s="132" t="s">
        <v>6209</v>
      </c>
      <c r="P2344" s="132" t="s">
        <v>6064</v>
      </c>
      <c r="Q2344" s="132" t="s">
        <v>1108</v>
      </c>
    </row>
    <row r="2345" spans="1:17" x14ac:dyDescent="0.2">
      <c r="A2345" t="s">
        <v>141</v>
      </c>
      <c r="B2345" s="141">
        <f t="shared" si="37"/>
        <v>3.13</v>
      </c>
      <c r="C2345" s="280">
        <v>45907</v>
      </c>
      <c r="D2345" s="279">
        <v>45909</v>
      </c>
      <c r="E2345" s="279">
        <v>45909</v>
      </c>
      <c r="F2345" s="132"/>
      <c r="G2345" s="132" t="s">
        <v>1108</v>
      </c>
      <c r="H2345" s="132" t="s">
        <v>373</v>
      </c>
      <c r="I2345" s="132" t="s">
        <v>1100</v>
      </c>
      <c r="J2345" s="132" t="s">
        <v>1730</v>
      </c>
      <c r="K2345" s="132" t="s">
        <v>1742</v>
      </c>
      <c r="L2345" s="132" t="s">
        <v>1743</v>
      </c>
      <c r="M2345" s="132" t="s">
        <v>6210</v>
      </c>
      <c r="N2345" s="132" t="s">
        <v>1117</v>
      </c>
      <c r="O2345" s="132" t="s">
        <v>6211</v>
      </c>
      <c r="P2345" s="132" t="s">
        <v>6064</v>
      </c>
      <c r="Q2345" s="132" t="s">
        <v>1108</v>
      </c>
    </row>
    <row r="2346" spans="1:17" x14ac:dyDescent="0.2">
      <c r="A2346" t="s">
        <v>141</v>
      </c>
      <c r="B2346" s="141">
        <f t="shared" si="37"/>
        <v>3.13</v>
      </c>
      <c r="C2346" s="280">
        <v>45907</v>
      </c>
      <c r="D2346" s="279">
        <v>45909</v>
      </c>
      <c r="E2346" s="279">
        <v>45909</v>
      </c>
      <c r="F2346" s="132"/>
      <c r="G2346" s="132" t="s">
        <v>1108</v>
      </c>
      <c r="H2346" s="132" t="s">
        <v>373</v>
      </c>
      <c r="I2346" s="132" t="s">
        <v>1100</v>
      </c>
      <c r="J2346" s="132" t="s">
        <v>1730</v>
      </c>
      <c r="K2346" s="132" t="s">
        <v>1742</v>
      </c>
      <c r="L2346" s="132" t="s">
        <v>1743</v>
      </c>
      <c r="M2346" s="132" t="s">
        <v>6212</v>
      </c>
      <c r="N2346" s="132" t="s">
        <v>1117</v>
      </c>
      <c r="O2346" s="132" t="s">
        <v>6213</v>
      </c>
      <c r="P2346" s="132" t="s">
        <v>6064</v>
      </c>
      <c r="Q2346" s="132" t="s">
        <v>1108</v>
      </c>
    </row>
    <row r="2347" spans="1:17" x14ac:dyDescent="0.2">
      <c r="A2347" t="s">
        <v>141</v>
      </c>
      <c r="B2347" s="141">
        <f t="shared" si="37"/>
        <v>3.13</v>
      </c>
      <c r="C2347" s="280">
        <v>45907</v>
      </c>
      <c r="D2347" s="279">
        <v>45909</v>
      </c>
      <c r="E2347" s="279">
        <v>45909</v>
      </c>
      <c r="F2347" s="132"/>
      <c r="G2347" s="132" t="s">
        <v>5538</v>
      </c>
      <c r="H2347" s="132" t="s">
        <v>373</v>
      </c>
      <c r="I2347" s="132" t="s">
        <v>1100</v>
      </c>
      <c r="J2347" s="132" t="s">
        <v>1730</v>
      </c>
      <c r="K2347" s="132" t="s">
        <v>1742</v>
      </c>
      <c r="L2347" s="132" t="s">
        <v>1743</v>
      </c>
      <c r="M2347" s="132" t="s">
        <v>6214</v>
      </c>
      <c r="N2347" s="132" t="s">
        <v>1105</v>
      </c>
      <c r="O2347" s="132" t="s">
        <v>6215</v>
      </c>
      <c r="P2347" s="132" t="s">
        <v>6064</v>
      </c>
      <c r="Q2347" s="132" t="s">
        <v>1108</v>
      </c>
    </row>
    <row r="2348" spans="1:17" x14ac:dyDescent="0.2">
      <c r="A2348" t="s">
        <v>141</v>
      </c>
      <c r="B2348" s="141">
        <f t="shared" si="37"/>
        <v>3.11</v>
      </c>
      <c r="C2348" s="280">
        <v>45907</v>
      </c>
      <c r="D2348" s="279">
        <v>45909</v>
      </c>
      <c r="E2348" s="279">
        <v>45909</v>
      </c>
      <c r="F2348" s="132"/>
      <c r="G2348" s="132" t="s">
        <v>1108</v>
      </c>
      <c r="H2348" s="132" t="s">
        <v>373</v>
      </c>
      <c r="I2348" s="132" t="s">
        <v>1100</v>
      </c>
      <c r="J2348" s="132" t="s">
        <v>1730</v>
      </c>
      <c r="K2348" s="132" t="s">
        <v>1731</v>
      </c>
      <c r="L2348" s="132" t="s">
        <v>1732</v>
      </c>
      <c r="M2348" s="132" t="s">
        <v>6216</v>
      </c>
      <c r="N2348" s="132" t="s">
        <v>1112</v>
      </c>
      <c r="O2348" s="132" t="s">
        <v>6217</v>
      </c>
      <c r="P2348" s="132" t="s">
        <v>6064</v>
      </c>
      <c r="Q2348" s="132" t="s">
        <v>1108</v>
      </c>
    </row>
    <row r="2349" spans="1:17" x14ac:dyDescent="0.2">
      <c r="A2349" t="s">
        <v>141</v>
      </c>
      <c r="B2349" s="141">
        <f t="shared" si="37"/>
        <v>3.13</v>
      </c>
      <c r="C2349" s="280">
        <v>45907</v>
      </c>
      <c r="D2349" s="279">
        <v>45909</v>
      </c>
      <c r="E2349" s="279">
        <v>45909</v>
      </c>
      <c r="F2349" s="132"/>
      <c r="G2349" s="132" t="s">
        <v>1108</v>
      </c>
      <c r="H2349" s="132" t="s">
        <v>373</v>
      </c>
      <c r="I2349" s="132" t="s">
        <v>1100</v>
      </c>
      <c r="J2349" s="132" t="s">
        <v>1730</v>
      </c>
      <c r="K2349" s="132" t="s">
        <v>1742</v>
      </c>
      <c r="L2349" s="132" t="s">
        <v>1743</v>
      </c>
      <c r="M2349" s="132" t="s">
        <v>6218</v>
      </c>
      <c r="N2349" s="132" t="s">
        <v>1117</v>
      </c>
      <c r="O2349" s="132" t="s">
        <v>6219</v>
      </c>
      <c r="P2349" s="132" t="s">
        <v>6064</v>
      </c>
      <c r="Q2349" s="132" t="s">
        <v>1108</v>
      </c>
    </row>
    <row r="2350" spans="1:17" x14ac:dyDescent="0.2">
      <c r="A2350" t="s">
        <v>141</v>
      </c>
      <c r="B2350" s="141">
        <f t="shared" ref="B2350:B2413" si="38">_xlfn.NUMBERVALUE(L2350)*0.01</f>
        <v>3.13</v>
      </c>
      <c r="C2350" s="280">
        <v>45907</v>
      </c>
      <c r="D2350" s="279">
        <v>45909</v>
      </c>
      <c r="E2350" s="279">
        <v>45909</v>
      </c>
      <c r="F2350" s="132"/>
      <c r="G2350" s="132" t="s">
        <v>1108</v>
      </c>
      <c r="H2350" s="132" t="s">
        <v>373</v>
      </c>
      <c r="I2350" s="132" t="s">
        <v>1100</v>
      </c>
      <c r="J2350" s="132" t="s">
        <v>1730</v>
      </c>
      <c r="K2350" s="132" t="s">
        <v>1742</v>
      </c>
      <c r="L2350" s="132" t="s">
        <v>1743</v>
      </c>
      <c r="M2350" s="132" t="s">
        <v>6220</v>
      </c>
      <c r="N2350" s="132" t="s">
        <v>1117</v>
      </c>
      <c r="O2350" s="132" t="s">
        <v>6221</v>
      </c>
      <c r="P2350" s="132" t="s">
        <v>6064</v>
      </c>
      <c r="Q2350" s="132" t="s">
        <v>1108</v>
      </c>
    </row>
    <row r="2351" spans="1:17" x14ac:dyDescent="0.2">
      <c r="A2351" t="s">
        <v>141</v>
      </c>
      <c r="B2351" s="141">
        <f t="shared" si="38"/>
        <v>3.11</v>
      </c>
      <c r="C2351" s="280">
        <v>45907</v>
      </c>
      <c r="D2351" s="279">
        <v>45909</v>
      </c>
      <c r="E2351" s="279">
        <v>45909</v>
      </c>
      <c r="F2351" s="132"/>
      <c r="G2351" s="132" t="s">
        <v>1108</v>
      </c>
      <c r="H2351" s="132" t="s">
        <v>373</v>
      </c>
      <c r="I2351" s="132" t="s">
        <v>1100</v>
      </c>
      <c r="J2351" s="132" t="s">
        <v>1730</v>
      </c>
      <c r="K2351" s="132" t="s">
        <v>1731</v>
      </c>
      <c r="L2351" s="132" t="s">
        <v>1732</v>
      </c>
      <c r="M2351" s="132" t="s">
        <v>6222</v>
      </c>
      <c r="N2351" s="132" t="s">
        <v>1112</v>
      </c>
      <c r="O2351" s="132" t="s">
        <v>6223</v>
      </c>
      <c r="P2351" s="132" t="s">
        <v>6064</v>
      </c>
      <c r="Q2351" s="132" t="s">
        <v>1108</v>
      </c>
    </row>
    <row r="2352" spans="1:17" x14ac:dyDescent="0.2">
      <c r="A2352" t="s">
        <v>141</v>
      </c>
      <c r="B2352" s="141">
        <f t="shared" si="38"/>
        <v>3.11</v>
      </c>
      <c r="C2352" s="280">
        <v>45907</v>
      </c>
      <c r="D2352" s="279">
        <v>45909</v>
      </c>
      <c r="E2352" s="279">
        <v>45909</v>
      </c>
      <c r="F2352" s="132"/>
      <c r="G2352" s="132" t="s">
        <v>1108</v>
      </c>
      <c r="H2352" s="132" t="s">
        <v>373</v>
      </c>
      <c r="I2352" s="132" t="s">
        <v>1100</v>
      </c>
      <c r="J2352" s="132" t="s">
        <v>1730</v>
      </c>
      <c r="K2352" s="132" t="s">
        <v>1731</v>
      </c>
      <c r="L2352" s="132" t="s">
        <v>1732</v>
      </c>
      <c r="M2352" s="132" t="s">
        <v>6224</v>
      </c>
      <c r="N2352" s="132" t="s">
        <v>1112</v>
      </c>
      <c r="O2352" s="132" t="s">
        <v>6225</v>
      </c>
      <c r="P2352" s="132" t="s">
        <v>6064</v>
      </c>
      <c r="Q2352" s="132" t="s">
        <v>1108</v>
      </c>
    </row>
    <row r="2353" spans="1:17" x14ac:dyDescent="0.2">
      <c r="A2353" t="s">
        <v>81</v>
      </c>
      <c r="B2353" s="141">
        <f t="shared" si="38"/>
        <v>58.2</v>
      </c>
      <c r="C2353" s="280">
        <v>45907</v>
      </c>
      <c r="D2353" s="279">
        <v>45909</v>
      </c>
      <c r="E2353" s="279">
        <v>45909</v>
      </c>
      <c r="F2353" s="132"/>
      <c r="G2353" s="132" t="s">
        <v>1108</v>
      </c>
      <c r="H2353" s="132" t="s">
        <v>373</v>
      </c>
      <c r="I2353" s="132" t="s">
        <v>1100</v>
      </c>
      <c r="J2353" s="132" t="s">
        <v>4623</v>
      </c>
      <c r="K2353" s="132" t="s">
        <v>4624</v>
      </c>
      <c r="L2353" s="132" t="s">
        <v>4625</v>
      </c>
      <c r="M2353" s="132" t="s">
        <v>6226</v>
      </c>
      <c r="N2353" s="132" t="s">
        <v>1112</v>
      </c>
      <c r="O2353" s="132" t="s">
        <v>6227</v>
      </c>
      <c r="P2353" s="132" t="s">
        <v>6064</v>
      </c>
      <c r="Q2353" s="132" t="s">
        <v>1108</v>
      </c>
    </row>
    <row r="2354" spans="1:17" x14ac:dyDescent="0.2">
      <c r="A2354" t="s">
        <v>141</v>
      </c>
      <c r="B2354" s="141">
        <f t="shared" si="38"/>
        <v>3.11</v>
      </c>
      <c r="C2354" s="280">
        <v>45907</v>
      </c>
      <c r="D2354" s="279">
        <v>45909</v>
      </c>
      <c r="E2354" s="279">
        <v>45909</v>
      </c>
      <c r="F2354" s="132"/>
      <c r="G2354" s="132" t="s">
        <v>1108</v>
      </c>
      <c r="H2354" s="132" t="s">
        <v>373</v>
      </c>
      <c r="I2354" s="132" t="s">
        <v>1100</v>
      </c>
      <c r="J2354" s="132" t="s">
        <v>1730</v>
      </c>
      <c r="K2354" s="132" t="s">
        <v>1731</v>
      </c>
      <c r="L2354" s="132" t="s">
        <v>1732</v>
      </c>
      <c r="M2354" s="132" t="s">
        <v>6228</v>
      </c>
      <c r="N2354" s="132" t="s">
        <v>1112</v>
      </c>
      <c r="O2354" s="132" t="s">
        <v>6229</v>
      </c>
      <c r="P2354" s="132" t="s">
        <v>6064</v>
      </c>
      <c r="Q2354" s="132" t="s">
        <v>1108</v>
      </c>
    </row>
    <row r="2355" spans="1:17" x14ac:dyDescent="0.2">
      <c r="A2355" t="s">
        <v>141</v>
      </c>
      <c r="B2355" s="141">
        <f t="shared" si="38"/>
        <v>3.11</v>
      </c>
      <c r="C2355" s="280">
        <v>45907</v>
      </c>
      <c r="D2355" s="279">
        <v>45909</v>
      </c>
      <c r="E2355" s="279">
        <v>45909</v>
      </c>
      <c r="F2355" s="132"/>
      <c r="G2355" s="132" t="s">
        <v>1108</v>
      </c>
      <c r="H2355" s="132" t="s">
        <v>373</v>
      </c>
      <c r="I2355" s="132" t="s">
        <v>1100</v>
      </c>
      <c r="J2355" s="132" t="s">
        <v>1730</v>
      </c>
      <c r="K2355" s="132" t="s">
        <v>1731</v>
      </c>
      <c r="L2355" s="132" t="s">
        <v>1732</v>
      </c>
      <c r="M2355" s="132" t="s">
        <v>6230</v>
      </c>
      <c r="N2355" s="132" t="s">
        <v>1112</v>
      </c>
      <c r="O2355" s="132" t="s">
        <v>6231</v>
      </c>
      <c r="P2355" s="132" t="s">
        <v>6064</v>
      </c>
      <c r="Q2355" s="132" t="s">
        <v>1108</v>
      </c>
    </row>
    <row r="2356" spans="1:17" x14ac:dyDescent="0.2">
      <c r="A2356" t="s">
        <v>141</v>
      </c>
      <c r="B2356" s="141">
        <f t="shared" si="38"/>
        <v>3.13</v>
      </c>
      <c r="C2356" s="280">
        <v>45907</v>
      </c>
      <c r="D2356" s="279">
        <v>45909</v>
      </c>
      <c r="E2356" s="279">
        <v>45909</v>
      </c>
      <c r="F2356" s="132"/>
      <c r="G2356" s="132" t="s">
        <v>1108</v>
      </c>
      <c r="H2356" s="132" t="s">
        <v>373</v>
      </c>
      <c r="I2356" s="132" t="s">
        <v>1100</v>
      </c>
      <c r="J2356" s="132" t="s">
        <v>1730</v>
      </c>
      <c r="K2356" s="132" t="s">
        <v>1742</v>
      </c>
      <c r="L2356" s="132" t="s">
        <v>1743</v>
      </c>
      <c r="M2356" s="132" t="s">
        <v>6232</v>
      </c>
      <c r="N2356" s="132" t="s">
        <v>1117</v>
      </c>
      <c r="O2356" s="132" t="s">
        <v>6233</v>
      </c>
      <c r="P2356" s="132" t="s">
        <v>6064</v>
      </c>
      <c r="Q2356" s="132" t="s">
        <v>1108</v>
      </c>
    </row>
    <row r="2357" spans="1:17" x14ac:dyDescent="0.2">
      <c r="A2357" t="s">
        <v>142</v>
      </c>
      <c r="B2357" s="141">
        <f t="shared" si="38"/>
        <v>4.57</v>
      </c>
      <c r="C2357" s="280">
        <v>45907</v>
      </c>
      <c r="D2357" s="279">
        <v>45909</v>
      </c>
      <c r="E2357" s="279">
        <v>45909</v>
      </c>
      <c r="F2357" s="132"/>
      <c r="G2357" s="132" t="s">
        <v>1108</v>
      </c>
      <c r="H2357" s="132" t="s">
        <v>373</v>
      </c>
      <c r="I2357" s="132" t="s">
        <v>1100</v>
      </c>
      <c r="J2357" s="132" t="s">
        <v>2671</v>
      </c>
      <c r="K2357" s="132" t="s">
        <v>1927</v>
      </c>
      <c r="L2357" s="132" t="s">
        <v>2740</v>
      </c>
      <c r="M2357" s="132" t="s">
        <v>6234</v>
      </c>
      <c r="N2357" s="132" t="s">
        <v>1112</v>
      </c>
      <c r="O2357" s="132" t="s">
        <v>6235</v>
      </c>
      <c r="P2357" s="132" t="s">
        <v>6064</v>
      </c>
      <c r="Q2357" s="132" t="s">
        <v>1108</v>
      </c>
    </row>
    <row r="2358" spans="1:17" x14ac:dyDescent="0.2">
      <c r="A2358" t="s">
        <v>142</v>
      </c>
      <c r="B2358" s="141">
        <f t="shared" si="38"/>
        <v>4.6000000000000005</v>
      </c>
      <c r="C2358" s="280">
        <v>45907</v>
      </c>
      <c r="D2358" s="279">
        <v>45909</v>
      </c>
      <c r="E2358" s="279">
        <v>45909</v>
      </c>
      <c r="F2358" s="132"/>
      <c r="G2358" s="132" t="s">
        <v>1108</v>
      </c>
      <c r="H2358" s="132" t="s">
        <v>373</v>
      </c>
      <c r="I2358" s="132" t="s">
        <v>1100</v>
      </c>
      <c r="J2358" s="132" t="s">
        <v>2671</v>
      </c>
      <c r="K2358" s="132" t="s">
        <v>2672</v>
      </c>
      <c r="L2358" s="132" t="s">
        <v>2673</v>
      </c>
      <c r="M2358" s="132" t="s">
        <v>6236</v>
      </c>
      <c r="N2358" s="132" t="s">
        <v>1117</v>
      </c>
      <c r="O2358" s="132" t="s">
        <v>6237</v>
      </c>
      <c r="P2358" s="132" t="s">
        <v>6064</v>
      </c>
      <c r="Q2358" s="132" t="s">
        <v>1108</v>
      </c>
    </row>
    <row r="2359" spans="1:17" x14ac:dyDescent="0.2">
      <c r="A2359" t="s">
        <v>141</v>
      </c>
      <c r="B2359" s="141">
        <f t="shared" si="38"/>
        <v>3.13</v>
      </c>
      <c r="C2359" s="280">
        <v>45907</v>
      </c>
      <c r="D2359" s="279">
        <v>45909</v>
      </c>
      <c r="E2359" s="279">
        <v>45909</v>
      </c>
      <c r="F2359" s="132"/>
      <c r="G2359" s="132" t="s">
        <v>1108</v>
      </c>
      <c r="H2359" s="132" t="s">
        <v>373</v>
      </c>
      <c r="I2359" s="132" t="s">
        <v>1100</v>
      </c>
      <c r="J2359" s="132" t="s">
        <v>1730</v>
      </c>
      <c r="K2359" s="132" t="s">
        <v>1742</v>
      </c>
      <c r="L2359" s="132" t="s">
        <v>1743</v>
      </c>
      <c r="M2359" s="132" t="s">
        <v>6238</v>
      </c>
      <c r="N2359" s="132" t="s">
        <v>1117</v>
      </c>
      <c r="O2359" s="132" t="s">
        <v>6239</v>
      </c>
      <c r="P2359" s="132" t="s">
        <v>6064</v>
      </c>
      <c r="Q2359" s="132" t="s">
        <v>1108</v>
      </c>
    </row>
    <row r="2360" spans="1:17" x14ac:dyDescent="0.2">
      <c r="A2360" t="s">
        <v>293</v>
      </c>
      <c r="B2360" s="141">
        <f t="shared" si="38"/>
        <v>53.65</v>
      </c>
      <c r="C2360" s="280">
        <v>45908</v>
      </c>
      <c r="D2360" s="279">
        <v>45910</v>
      </c>
      <c r="E2360" s="279">
        <v>45910</v>
      </c>
      <c r="F2360" s="132"/>
      <c r="G2360" s="132" t="s">
        <v>1108</v>
      </c>
      <c r="H2360" s="132" t="s">
        <v>373</v>
      </c>
      <c r="I2360" s="132" t="s">
        <v>1100</v>
      </c>
      <c r="J2360" s="132" t="s">
        <v>5602</v>
      </c>
      <c r="K2360" s="132" t="s">
        <v>5608</v>
      </c>
      <c r="L2360" s="132" t="s">
        <v>5609</v>
      </c>
      <c r="M2360" s="132" t="s">
        <v>6240</v>
      </c>
      <c r="N2360" s="132" t="s">
        <v>1117</v>
      </c>
      <c r="O2360" s="132" t="s">
        <v>6241</v>
      </c>
      <c r="P2360" s="132" t="s">
        <v>6242</v>
      </c>
      <c r="Q2360" s="132" t="s">
        <v>1108</v>
      </c>
    </row>
    <row r="2361" spans="1:17" x14ac:dyDescent="0.2">
      <c r="A2361" t="s">
        <v>81</v>
      </c>
      <c r="B2361" s="141">
        <f t="shared" si="38"/>
        <v>58.2</v>
      </c>
      <c r="C2361" s="280">
        <v>45908</v>
      </c>
      <c r="D2361" s="279">
        <v>45910</v>
      </c>
      <c r="E2361" s="279">
        <v>45910</v>
      </c>
      <c r="F2361" s="132"/>
      <c r="G2361" s="132" t="s">
        <v>1108</v>
      </c>
      <c r="H2361" s="132" t="s">
        <v>373</v>
      </c>
      <c r="I2361" s="132" t="s">
        <v>1100</v>
      </c>
      <c r="J2361" s="132" t="s">
        <v>4623</v>
      </c>
      <c r="K2361" s="132" t="s">
        <v>4624</v>
      </c>
      <c r="L2361" s="132" t="s">
        <v>4625</v>
      </c>
      <c r="M2361" s="132" t="s">
        <v>6243</v>
      </c>
      <c r="N2361" s="132" t="s">
        <v>1112</v>
      </c>
      <c r="O2361" s="132" t="s">
        <v>6244</v>
      </c>
      <c r="P2361" s="132" t="s">
        <v>6242</v>
      </c>
      <c r="Q2361" s="132" t="s">
        <v>1108</v>
      </c>
    </row>
    <row r="2362" spans="1:17" x14ac:dyDescent="0.2">
      <c r="A2362" t="s">
        <v>141</v>
      </c>
      <c r="B2362" s="141">
        <f t="shared" si="38"/>
        <v>3.13</v>
      </c>
      <c r="C2362" s="280">
        <v>45908</v>
      </c>
      <c r="D2362" s="279">
        <v>45910</v>
      </c>
      <c r="E2362" s="279">
        <v>45910</v>
      </c>
      <c r="F2362" s="132"/>
      <c r="G2362" s="132" t="s">
        <v>1108</v>
      </c>
      <c r="H2362" s="132" t="s">
        <v>373</v>
      </c>
      <c r="I2362" s="132" t="s">
        <v>1100</v>
      </c>
      <c r="J2362" s="132" t="s">
        <v>1730</v>
      </c>
      <c r="K2362" s="132" t="s">
        <v>1742</v>
      </c>
      <c r="L2362" s="132" t="s">
        <v>1743</v>
      </c>
      <c r="M2362" s="132" t="s">
        <v>6245</v>
      </c>
      <c r="N2362" s="132" t="s">
        <v>1117</v>
      </c>
      <c r="O2362" s="132" t="s">
        <v>6246</v>
      </c>
      <c r="P2362" s="132" t="s">
        <v>6242</v>
      </c>
      <c r="Q2362" s="132" t="s">
        <v>1108</v>
      </c>
    </row>
    <row r="2363" spans="1:17" x14ac:dyDescent="0.2">
      <c r="A2363" t="s">
        <v>141</v>
      </c>
      <c r="B2363" s="141">
        <f t="shared" si="38"/>
        <v>3.13</v>
      </c>
      <c r="C2363" s="280">
        <v>45908</v>
      </c>
      <c r="D2363" s="279">
        <v>45910</v>
      </c>
      <c r="E2363" s="279">
        <v>45910</v>
      </c>
      <c r="F2363" s="132"/>
      <c r="G2363" s="132" t="s">
        <v>1481</v>
      </c>
      <c r="H2363" s="132" t="s">
        <v>373</v>
      </c>
      <c r="I2363" s="132" t="s">
        <v>1100</v>
      </c>
      <c r="J2363" s="132" t="s">
        <v>1730</v>
      </c>
      <c r="K2363" s="132" t="s">
        <v>1742</v>
      </c>
      <c r="L2363" s="132" t="s">
        <v>1743</v>
      </c>
      <c r="M2363" s="132" t="s">
        <v>6247</v>
      </c>
      <c r="N2363" s="132" t="s">
        <v>1105</v>
      </c>
      <c r="O2363" s="132" t="s">
        <v>6248</v>
      </c>
      <c r="P2363" s="132" t="s">
        <v>6242</v>
      </c>
      <c r="Q2363" s="132" t="s">
        <v>1108</v>
      </c>
    </row>
    <row r="2364" spans="1:17" x14ac:dyDescent="0.2">
      <c r="A2364" t="s">
        <v>142</v>
      </c>
      <c r="B2364" s="141">
        <f t="shared" si="38"/>
        <v>7.99</v>
      </c>
      <c r="C2364" s="280">
        <v>45908</v>
      </c>
      <c r="D2364" s="279">
        <v>45910</v>
      </c>
      <c r="E2364" s="279">
        <v>45910</v>
      </c>
      <c r="F2364" s="132"/>
      <c r="G2364" s="132" t="s">
        <v>1108</v>
      </c>
      <c r="H2364" s="132" t="s">
        <v>373</v>
      </c>
      <c r="I2364" s="132" t="s">
        <v>1100</v>
      </c>
      <c r="J2364" s="132" t="s">
        <v>6133</v>
      </c>
      <c r="K2364" s="132" t="s">
        <v>6249</v>
      </c>
      <c r="L2364" s="132" t="s">
        <v>1173</v>
      </c>
      <c r="M2364" s="132" t="s">
        <v>6250</v>
      </c>
      <c r="N2364" s="132" t="s">
        <v>1112</v>
      </c>
      <c r="O2364" s="132" t="s">
        <v>6251</v>
      </c>
      <c r="P2364" s="132" t="s">
        <v>6242</v>
      </c>
      <c r="Q2364" s="132" t="s">
        <v>1108</v>
      </c>
    </row>
    <row r="2365" spans="1:17" x14ac:dyDescent="0.2">
      <c r="A2365" t="s">
        <v>293</v>
      </c>
      <c r="B2365" s="141">
        <f t="shared" si="38"/>
        <v>53.65</v>
      </c>
      <c r="C2365" s="280">
        <v>45908</v>
      </c>
      <c r="D2365" s="279">
        <v>45910</v>
      </c>
      <c r="E2365" s="279">
        <v>45910</v>
      </c>
      <c r="F2365" s="132"/>
      <c r="G2365" s="132" t="s">
        <v>5201</v>
      </c>
      <c r="H2365" s="132" t="s">
        <v>373</v>
      </c>
      <c r="I2365" s="132" t="s">
        <v>1100</v>
      </c>
      <c r="J2365" s="132" t="s">
        <v>5602</v>
      </c>
      <c r="K2365" s="132" t="s">
        <v>5608</v>
      </c>
      <c r="L2365" s="132" t="s">
        <v>5609</v>
      </c>
      <c r="M2365" s="132" t="s">
        <v>6252</v>
      </c>
      <c r="N2365" s="132" t="s">
        <v>1105</v>
      </c>
      <c r="O2365" s="132" t="s">
        <v>6253</v>
      </c>
      <c r="P2365" s="132" t="s">
        <v>6242</v>
      </c>
      <c r="Q2365" s="132" t="s">
        <v>1108</v>
      </c>
    </row>
    <row r="2366" spans="1:17" x14ac:dyDescent="0.2">
      <c r="A2366" t="s">
        <v>81</v>
      </c>
      <c r="B2366" s="141">
        <f t="shared" si="38"/>
        <v>58.56</v>
      </c>
      <c r="C2366" s="280">
        <v>45908</v>
      </c>
      <c r="D2366" s="279">
        <v>45910</v>
      </c>
      <c r="E2366" s="279">
        <v>45910</v>
      </c>
      <c r="F2366" s="132"/>
      <c r="G2366" s="132" t="s">
        <v>5201</v>
      </c>
      <c r="H2366" s="132" t="s">
        <v>373</v>
      </c>
      <c r="I2366" s="132" t="s">
        <v>1100</v>
      </c>
      <c r="J2366" s="132" t="s">
        <v>4623</v>
      </c>
      <c r="K2366" s="132" t="s">
        <v>4672</v>
      </c>
      <c r="L2366" s="132" t="s">
        <v>4673</v>
      </c>
      <c r="M2366" s="132" t="s">
        <v>6254</v>
      </c>
      <c r="N2366" s="132" t="s">
        <v>1105</v>
      </c>
      <c r="O2366" s="132" t="s">
        <v>6255</v>
      </c>
      <c r="P2366" s="132" t="s">
        <v>6242</v>
      </c>
      <c r="Q2366" s="132" t="s">
        <v>1108</v>
      </c>
    </row>
    <row r="2367" spans="1:17" x14ac:dyDescent="0.2">
      <c r="A2367" t="s">
        <v>293</v>
      </c>
      <c r="B2367" s="141">
        <f t="shared" si="38"/>
        <v>53.65</v>
      </c>
      <c r="C2367" s="280">
        <v>45908</v>
      </c>
      <c r="D2367" s="279">
        <v>45910</v>
      </c>
      <c r="E2367" s="279">
        <v>45910</v>
      </c>
      <c r="F2367" s="132"/>
      <c r="G2367" s="132" t="s">
        <v>1108</v>
      </c>
      <c r="H2367" s="132" t="s">
        <v>373</v>
      </c>
      <c r="I2367" s="132" t="s">
        <v>1100</v>
      </c>
      <c r="J2367" s="132" t="s">
        <v>5602</v>
      </c>
      <c r="K2367" s="132" t="s">
        <v>5608</v>
      </c>
      <c r="L2367" s="132" t="s">
        <v>5609</v>
      </c>
      <c r="M2367" s="132" t="s">
        <v>6257</v>
      </c>
      <c r="N2367" s="132" t="s">
        <v>1117</v>
      </c>
      <c r="O2367" s="132" t="s">
        <v>6258</v>
      </c>
      <c r="P2367" s="132" t="s">
        <v>6242</v>
      </c>
      <c r="Q2367" s="132" t="s">
        <v>1108</v>
      </c>
    </row>
    <row r="2368" spans="1:17" x14ac:dyDescent="0.2">
      <c r="A2368" t="s">
        <v>81</v>
      </c>
      <c r="B2368" s="141">
        <f t="shared" si="38"/>
        <v>58.56</v>
      </c>
      <c r="C2368" s="280">
        <v>45908</v>
      </c>
      <c r="D2368" s="279">
        <v>45910</v>
      </c>
      <c r="E2368" s="279">
        <v>45910</v>
      </c>
      <c r="F2368" s="132"/>
      <c r="G2368" s="132" t="s">
        <v>6256</v>
      </c>
      <c r="H2368" s="132" t="s">
        <v>373</v>
      </c>
      <c r="I2368" s="132" t="s">
        <v>1100</v>
      </c>
      <c r="J2368" s="132" t="s">
        <v>4623</v>
      </c>
      <c r="K2368" s="132" t="s">
        <v>4672</v>
      </c>
      <c r="L2368" s="132" t="s">
        <v>4673</v>
      </c>
      <c r="M2368" s="281" t="s">
        <v>6259</v>
      </c>
      <c r="N2368" s="132" t="s">
        <v>1105</v>
      </c>
      <c r="O2368" s="132" t="s">
        <v>6260</v>
      </c>
      <c r="P2368" s="132" t="s">
        <v>6242</v>
      </c>
      <c r="Q2368" s="132" t="s">
        <v>1108</v>
      </c>
    </row>
    <row r="2369" spans="1:17" x14ac:dyDescent="0.2">
      <c r="A2369" t="s">
        <v>142</v>
      </c>
      <c r="B2369" s="141">
        <f t="shared" si="38"/>
        <v>4.6000000000000005</v>
      </c>
      <c r="C2369" s="280">
        <v>45908</v>
      </c>
      <c r="D2369" s="279">
        <v>45910</v>
      </c>
      <c r="E2369" s="279">
        <v>45910</v>
      </c>
      <c r="F2369" s="132"/>
      <c r="G2369" s="132" t="s">
        <v>1108</v>
      </c>
      <c r="H2369" s="132" t="s">
        <v>373</v>
      </c>
      <c r="I2369" s="132" t="s">
        <v>1100</v>
      </c>
      <c r="J2369" s="132" t="s">
        <v>2671</v>
      </c>
      <c r="K2369" s="132" t="s">
        <v>2672</v>
      </c>
      <c r="L2369" s="132" t="s">
        <v>2673</v>
      </c>
      <c r="M2369" s="132" t="s">
        <v>6261</v>
      </c>
      <c r="N2369" s="132" t="s">
        <v>1117</v>
      </c>
      <c r="O2369" s="132" t="s">
        <v>6262</v>
      </c>
      <c r="P2369" s="132" t="s">
        <v>6242</v>
      </c>
      <c r="Q2369" s="132" t="s">
        <v>1108</v>
      </c>
    </row>
    <row r="2370" spans="1:17" x14ac:dyDescent="0.2">
      <c r="A2370" t="s">
        <v>141</v>
      </c>
      <c r="B2370" s="141">
        <f t="shared" si="38"/>
        <v>3.13</v>
      </c>
      <c r="C2370" s="280">
        <v>45908</v>
      </c>
      <c r="D2370" s="279">
        <v>45910</v>
      </c>
      <c r="E2370" s="279">
        <v>45910</v>
      </c>
      <c r="F2370" s="132"/>
      <c r="G2370" s="132" t="s">
        <v>5543</v>
      </c>
      <c r="H2370" s="132" t="s">
        <v>373</v>
      </c>
      <c r="I2370" s="132" t="s">
        <v>1100</v>
      </c>
      <c r="J2370" s="132" t="s">
        <v>1730</v>
      </c>
      <c r="K2370" s="132" t="s">
        <v>1742</v>
      </c>
      <c r="L2370" s="132" t="s">
        <v>1743</v>
      </c>
      <c r="M2370" s="132" t="s">
        <v>6263</v>
      </c>
      <c r="N2370" s="132" t="s">
        <v>1105</v>
      </c>
      <c r="O2370" s="132" t="s">
        <v>6264</v>
      </c>
      <c r="P2370" s="132" t="s">
        <v>6242</v>
      </c>
      <c r="Q2370" s="132" t="s">
        <v>1108</v>
      </c>
    </row>
    <row r="2371" spans="1:17" x14ac:dyDescent="0.2">
      <c r="A2371" t="s">
        <v>141</v>
      </c>
      <c r="B2371" s="141">
        <f t="shared" si="38"/>
        <v>3.11</v>
      </c>
      <c r="C2371" s="280">
        <v>45908</v>
      </c>
      <c r="D2371" s="279">
        <v>45910</v>
      </c>
      <c r="E2371" s="279">
        <v>45910</v>
      </c>
      <c r="F2371" s="132"/>
      <c r="G2371" s="132" t="s">
        <v>1108</v>
      </c>
      <c r="H2371" s="132" t="s">
        <v>373</v>
      </c>
      <c r="I2371" s="132" t="s">
        <v>1100</v>
      </c>
      <c r="J2371" s="132" t="s">
        <v>1730</v>
      </c>
      <c r="K2371" s="132" t="s">
        <v>1731</v>
      </c>
      <c r="L2371" s="132" t="s">
        <v>1732</v>
      </c>
      <c r="M2371" s="132" t="s">
        <v>6265</v>
      </c>
      <c r="N2371" s="132" t="s">
        <v>1112</v>
      </c>
      <c r="O2371" s="132" t="s">
        <v>6266</v>
      </c>
      <c r="P2371" s="132" t="s">
        <v>6242</v>
      </c>
      <c r="Q2371" s="132" t="s">
        <v>1108</v>
      </c>
    </row>
    <row r="2372" spans="1:17" x14ac:dyDescent="0.2">
      <c r="A2372" t="s">
        <v>141</v>
      </c>
      <c r="B2372" s="141">
        <f t="shared" si="38"/>
        <v>3.13</v>
      </c>
      <c r="C2372" s="280">
        <v>45908</v>
      </c>
      <c r="D2372" s="279">
        <v>45910</v>
      </c>
      <c r="E2372" s="279">
        <v>45910</v>
      </c>
      <c r="F2372" s="132"/>
      <c r="G2372" s="132" t="s">
        <v>1108</v>
      </c>
      <c r="H2372" s="132" t="s">
        <v>373</v>
      </c>
      <c r="I2372" s="132" t="s">
        <v>1100</v>
      </c>
      <c r="J2372" s="132" t="s">
        <v>1730</v>
      </c>
      <c r="K2372" s="132" t="s">
        <v>1742</v>
      </c>
      <c r="L2372" s="132" t="s">
        <v>1743</v>
      </c>
      <c r="M2372" s="132" t="s">
        <v>6267</v>
      </c>
      <c r="N2372" s="132" t="s">
        <v>1117</v>
      </c>
      <c r="O2372" s="132" t="s">
        <v>6268</v>
      </c>
      <c r="P2372" s="132" t="s">
        <v>6242</v>
      </c>
      <c r="Q2372" s="132" t="s">
        <v>1108</v>
      </c>
    </row>
    <row r="2373" spans="1:17" x14ac:dyDescent="0.2">
      <c r="A2373" t="s">
        <v>141</v>
      </c>
      <c r="B2373" s="141">
        <f t="shared" si="38"/>
        <v>3.13</v>
      </c>
      <c r="C2373" s="280">
        <v>45908</v>
      </c>
      <c r="D2373" s="279">
        <v>45910</v>
      </c>
      <c r="E2373" s="279">
        <v>45910</v>
      </c>
      <c r="F2373" s="132"/>
      <c r="G2373" s="132" t="s">
        <v>1108</v>
      </c>
      <c r="H2373" s="132" t="s">
        <v>373</v>
      </c>
      <c r="I2373" s="132" t="s">
        <v>1100</v>
      </c>
      <c r="J2373" s="132" t="s">
        <v>1730</v>
      </c>
      <c r="K2373" s="132" t="s">
        <v>1742</v>
      </c>
      <c r="L2373" s="132" t="s">
        <v>1743</v>
      </c>
      <c r="M2373" s="132" t="s">
        <v>6269</v>
      </c>
      <c r="N2373" s="132" t="s">
        <v>1117</v>
      </c>
      <c r="O2373" s="132" t="s">
        <v>6270</v>
      </c>
      <c r="P2373" s="132" t="s">
        <v>6242</v>
      </c>
      <c r="Q2373" s="132" t="s">
        <v>1108</v>
      </c>
    </row>
    <row r="2374" spans="1:17" x14ac:dyDescent="0.2">
      <c r="A2374" t="s">
        <v>141</v>
      </c>
      <c r="B2374" s="141">
        <f t="shared" si="38"/>
        <v>3.13</v>
      </c>
      <c r="C2374" s="280">
        <v>45908</v>
      </c>
      <c r="D2374" s="279">
        <v>45910</v>
      </c>
      <c r="E2374" s="279">
        <v>45910</v>
      </c>
      <c r="F2374" s="132"/>
      <c r="G2374" s="132" t="s">
        <v>1108</v>
      </c>
      <c r="H2374" s="132" t="s">
        <v>373</v>
      </c>
      <c r="I2374" s="132" t="s">
        <v>1100</v>
      </c>
      <c r="J2374" s="132" t="s">
        <v>1730</v>
      </c>
      <c r="K2374" s="132" t="s">
        <v>1742</v>
      </c>
      <c r="L2374" s="132" t="s">
        <v>1743</v>
      </c>
      <c r="M2374" s="132" t="s">
        <v>6271</v>
      </c>
      <c r="N2374" s="132" t="s">
        <v>1117</v>
      </c>
      <c r="O2374" s="132" t="s">
        <v>6272</v>
      </c>
      <c r="P2374" s="132" t="s">
        <v>6242</v>
      </c>
      <c r="Q2374" s="132" t="s">
        <v>1108</v>
      </c>
    </row>
    <row r="2375" spans="1:17" x14ac:dyDescent="0.2">
      <c r="A2375" t="s">
        <v>141</v>
      </c>
      <c r="B2375" s="141">
        <f t="shared" si="38"/>
        <v>3.13</v>
      </c>
      <c r="C2375" s="280">
        <v>45908</v>
      </c>
      <c r="D2375" s="279">
        <v>45910</v>
      </c>
      <c r="E2375" s="279">
        <v>45910</v>
      </c>
      <c r="F2375" s="132"/>
      <c r="G2375" s="132" t="s">
        <v>1108</v>
      </c>
      <c r="H2375" s="132" t="s">
        <v>373</v>
      </c>
      <c r="I2375" s="132" t="s">
        <v>1100</v>
      </c>
      <c r="J2375" s="132" t="s">
        <v>1730</v>
      </c>
      <c r="K2375" s="132" t="s">
        <v>1742</v>
      </c>
      <c r="L2375" s="132" t="s">
        <v>1743</v>
      </c>
      <c r="M2375" s="132" t="s">
        <v>6273</v>
      </c>
      <c r="N2375" s="132" t="s">
        <v>1117</v>
      </c>
      <c r="O2375" s="132" t="s">
        <v>6274</v>
      </c>
      <c r="P2375" s="132" t="s">
        <v>6242</v>
      </c>
      <c r="Q2375" s="132" t="s">
        <v>1108</v>
      </c>
    </row>
    <row r="2376" spans="1:17" x14ac:dyDescent="0.2">
      <c r="A2376" t="s">
        <v>142</v>
      </c>
      <c r="B2376" s="141">
        <f t="shared" si="38"/>
        <v>4.6000000000000005</v>
      </c>
      <c r="C2376" s="280">
        <v>45908</v>
      </c>
      <c r="D2376" s="279">
        <v>45910</v>
      </c>
      <c r="E2376" s="279">
        <v>45910</v>
      </c>
      <c r="F2376" s="132"/>
      <c r="G2376" s="132" t="s">
        <v>1108</v>
      </c>
      <c r="H2376" s="132" t="s">
        <v>373</v>
      </c>
      <c r="I2376" s="132" t="s">
        <v>1100</v>
      </c>
      <c r="J2376" s="132" t="s">
        <v>2671</v>
      </c>
      <c r="K2376" s="132" t="s">
        <v>2672</v>
      </c>
      <c r="L2376" s="132" t="s">
        <v>2673</v>
      </c>
      <c r="M2376" s="132" t="s">
        <v>6275</v>
      </c>
      <c r="N2376" s="132" t="s">
        <v>1117</v>
      </c>
      <c r="O2376" s="132" t="s">
        <v>6276</v>
      </c>
      <c r="P2376" s="132" t="s">
        <v>6242</v>
      </c>
      <c r="Q2376" s="132" t="s">
        <v>1108</v>
      </c>
    </row>
    <row r="2377" spans="1:17" x14ac:dyDescent="0.2">
      <c r="A2377" t="s">
        <v>142</v>
      </c>
      <c r="B2377" s="141">
        <f t="shared" si="38"/>
        <v>4.57</v>
      </c>
      <c r="C2377" s="280">
        <v>45908</v>
      </c>
      <c r="D2377" s="279">
        <v>45910</v>
      </c>
      <c r="E2377" s="279">
        <v>45910</v>
      </c>
      <c r="F2377" s="132"/>
      <c r="G2377" s="132" t="s">
        <v>1108</v>
      </c>
      <c r="H2377" s="132" t="s">
        <v>373</v>
      </c>
      <c r="I2377" s="132" t="s">
        <v>1100</v>
      </c>
      <c r="J2377" s="132" t="s">
        <v>2671</v>
      </c>
      <c r="K2377" s="132" t="s">
        <v>1927</v>
      </c>
      <c r="L2377" s="132" t="s">
        <v>2740</v>
      </c>
      <c r="M2377" s="132" t="s">
        <v>6277</v>
      </c>
      <c r="N2377" s="132" t="s">
        <v>1112</v>
      </c>
      <c r="O2377" s="132" t="s">
        <v>6278</v>
      </c>
      <c r="P2377" s="132" t="s">
        <v>6242</v>
      </c>
      <c r="Q2377" s="132" t="s">
        <v>1108</v>
      </c>
    </row>
    <row r="2378" spans="1:17" x14ac:dyDescent="0.2">
      <c r="A2378" t="s">
        <v>141</v>
      </c>
      <c r="B2378" s="141">
        <f t="shared" si="38"/>
        <v>3.13</v>
      </c>
      <c r="C2378" s="280">
        <v>45908</v>
      </c>
      <c r="D2378" s="279">
        <v>45910</v>
      </c>
      <c r="E2378" s="279">
        <v>45910</v>
      </c>
      <c r="F2378" s="132"/>
      <c r="G2378" s="132" t="s">
        <v>4890</v>
      </c>
      <c r="H2378" s="132" t="s">
        <v>373</v>
      </c>
      <c r="I2378" s="132" t="s">
        <v>1100</v>
      </c>
      <c r="J2378" s="132" t="s">
        <v>1730</v>
      </c>
      <c r="K2378" s="132" t="s">
        <v>1742</v>
      </c>
      <c r="L2378" s="132" t="s">
        <v>1743</v>
      </c>
      <c r="M2378" s="132" t="s">
        <v>6279</v>
      </c>
      <c r="N2378" s="132" t="s">
        <v>1105</v>
      </c>
      <c r="O2378" s="132" t="s">
        <v>6280</v>
      </c>
      <c r="P2378" s="132" t="s">
        <v>6242</v>
      </c>
      <c r="Q2378" s="132" t="s">
        <v>1108</v>
      </c>
    </row>
    <row r="2379" spans="1:17" x14ac:dyDescent="0.2">
      <c r="A2379" t="s">
        <v>141</v>
      </c>
      <c r="B2379" s="141">
        <f t="shared" si="38"/>
        <v>3.13</v>
      </c>
      <c r="C2379" s="280">
        <v>45908</v>
      </c>
      <c r="D2379" s="279">
        <v>45910</v>
      </c>
      <c r="E2379" s="279">
        <v>45910</v>
      </c>
      <c r="F2379" s="132"/>
      <c r="G2379" s="132" t="s">
        <v>1108</v>
      </c>
      <c r="H2379" s="132" t="s">
        <v>373</v>
      </c>
      <c r="I2379" s="132" t="s">
        <v>1100</v>
      </c>
      <c r="J2379" s="132" t="s">
        <v>1730</v>
      </c>
      <c r="K2379" s="132" t="s">
        <v>1742</v>
      </c>
      <c r="L2379" s="132" t="s">
        <v>1743</v>
      </c>
      <c r="M2379" s="132" t="s">
        <v>6281</v>
      </c>
      <c r="N2379" s="132" t="s">
        <v>1117</v>
      </c>
      <c r="O2379" s="132" t="s">
        <v>6282</v>
      </c>
      <c r="P2379" s="132" t="s">
        <v>6242</v>
      </c>
      <c r="Q2379" s="132" t="s">
        <v>1108</v>
      </c>
    </row>
    <row r="2380" spans="1:17" x14ac:dyDescent="0.2">
      <c r="A2380" t="s">
        <v>141</v>
      </c>
      <c r="B2380" s="141">
        <f t="shared" si="38"/>
        <v>3.13</v>
      </c>
      <c r="C2380" s="280">
        <v>45908</v>
      </c>
      <c r="D2380" s="279">
        <v>45910</v>
      </c>
      <c r="E2380" s="279">
        <v>45910</v>
      </c>
      <c r="F2380" s="132"/>
      <c r="G2380" s="132" t="s">
        <v>5239</v>
      </c>
      <c r="H2380" s="132" t="s">
        <v>373</v>
      </c>
      <c r="I2380" s="132" t="s">
        <v>1100</v>
      </c>
      <c r="J2380" s="132" t="s">
        <v>1730</v>
      </c>
      <c r="K2380" s="132" t="s">
        <v>1742</v>
      </c>
      <c r="L2380" s="132" t="s">
        <v>1743</v>
      </c>
      <c r="M2380" s="132" t="s">
        <v>6283</v>
      </c>
      <c r="N2380" s="132" t="s">
        <v>1105</v>
      </c>
      <c r="O2380" s="132" t="s">
        <v>6284</v>
      </c>
      <c r="P2380" s="132" t="s">
        <v>6242</v>
      </c>
      <c r="Q2380" s="132" t="s">
        <v>1108</v>
      </c>
    </row>
    <row r="2381" spans="1:17" x14ac:dyDescent="0.2">
      <c r="A2381" t="s">
        <v>141</v>
      </c>
      <c r="B2381" s="141">
        <f t="shared" si="38"/>
        <v>3.11</v>
      </c>
      <c r="C2381" s="280">
        <v>45908</v>
      </c>
      <c r="D2381" s="279">
        <v>45910</v>
      </c>
      <c r="E2381" s="279">
        <v>45910</v>
      </c>
      <c r="F2381" s="132"/>
      <c r="G2381" s="132" t="s">
        <v>1108</v>
      </c>
      <c r="H2381" s="132" t="s">
        <v>373</v>
      </c>
      <c r="I2381" s="132" t="s">
        <v>1100</v>
      </c>
      <c r="J2381" s="132" t="s">
        <v>1730</v>
      </c>
      <c r="K2381" s="132" t="s">
        <v>1731</v>
      </c>
      <c r="L2381" s="132" t="s">
        <v>1732</v>
      </c>
      <c r="M2381" s="132" t="s">
        <v>6285</v>
      </c>
      <c r="N2381" s="132" t="s">
        <v>1112</v>
      </c>
      <c r="O2381" s="132" t="s">
        <v>6286</v>
      </c>
      <c r="P2381" s="132" t="s">
        <v>6242</v>
      </c>
      <c r="Q2381" s="132" t="s">
        <v>1108</v>
      </c>
    </row>
    <row r="2382" spans="1:17" x14ac:dyDescent="0.2">
      <c r="A2382" t="s">
        <v>141</v>
      </c>
      <c r="B2382" s="141">
        <f t="shared" si="38"/>
        <v>3.13</v>
      </c>
      <c r="C2382" s="280">
        <v>45908</v>
      </c>
      <c r="D2382" s="279">
        <v>45910</v>
      </c>
      <c r="E2382" s="279">
        <v>45910</v>
      </c>
      <c r="F2382" s="132"/>
      <c r="G2382" s="132" t="s">
        <v>1108</v>
      </c>
      <c r="H2382" s="132" t="s">
        <v>373</v>
      </c>
      <c r="I2382" s="132" t="s">
        <v>1100</v>
      </c>
      <c r="J2382" s="132" t="s">
        <v>1730</v>
      </c>
      <c r="K2382" s="132" t="s">
        <v>1742</v>
      </c>
      <c r="L2382" s="132" t="s">
        <v>1743</v>
      </c>
      <c r="M2382" s="132" t="s">
        <v>6287</v>
      </c>
      <c r="N2382" s="132" t="s">
        <v>1117</v>
      </c>
      <c r="O2382" s="132" t="s">
        <v>6288</v>
      </c>
      <c r="P2382" s="132" t="s">
        <v>6242</v>
      </c>
      <c r="Q2382" s="132" t="s">
        <v>1108</v>
      </c>
    </row>
    <row r="2383" spans="1:17" x14ac:dyDescent="0.2">
      <c r="A2383" t="s">
        <v>141</v>
      </c>
      <c r="B2383" s="141">
        <f t="shared" si="38"/>
        <v>3.13</v>
      </c>
      <c r="C2383" s="280">
        <v>45908</v>
      </c>
      <c r="D2383" s="279">
        <v>45910</v>
      </c>
      <c r="E2383" s="279">
        <v>45910</v>
      </c>
      <c r="F2383" s="132"/>
      <c r="G2383" s="132" t="s">
        <v>1108</v>
      </c>
      <c r="H2383" s="132" t="s">
        <v>373</v>
      </c>
      <c r="I2383" s="132" t="s">
        <v>1100</v>
      </c>
      <c r="J2383" s="132" t="s">
        <v>1730</v>
      </c>
      <c r="K2383" s="132" t="s">
        <v>1742</v>
      </c>
      <c r="L2383" s="132" t="s">
        <v>1743</v>
      </c>
      <c r="M2383" s="132" t="s">
        <v>6289</v>
      </c>
      <c r="N2383" s="132" t="s">
        <v>1117</v>
      </c>
      <c r="O2383" s="132" t="s">
        <v>6290</v>
      </c>
      <c r="P2383" s="132" t="s">
        <v>6242</v>
      </c>
      <c r="Q2383" s="132" t="s">
        <v>1108</v>
      </c>
    </row>
    <row r="2384" spans="1:17" x14ac:dyDescent="0.2">
      <c r="A2384" t="s">
        <v>141</v>
      </c>
      <c r="B2384" s="141">
        <f t="shared" si="38"/>
        <v>3.13</v>
      </c>
      <c r="C2384" s="280">
        <v>45908</v>
      </c>
      <c r="D2384" s="279">
        <v>45910</v>
      </c>
      <c r="E2384" s="279">
        <v>45910</v>
      </c>
      <c r="F2384" s="132"/>
      <c r="G2384" s="132" t="s">
        <v>1108</v>
      </c>
      <c r="H2384" s="132" t="s">
        <v>373</v>
      </c>
      <c r="I2384" s="132" t="s">
        <v>1100</v>
      </c>
      <c r="J2384" s="132" t="s">
        <v>1730</v>
      </c>
      <c r="K2384" s="132" t="s">
        <v>1742</v>
      </c>
      <c r="L2384" s="132" t="s">
        <v>1743</v>
      </c>
      <c r="M2384" s="132" t="s">
        <v>6291</v>
      </c>
      <c r="N2384" s="132" t="s">
        <v>1117</v>
      </c>
      <c r="O2384" s="132" t="s">
        <v>6292</v>
      </c>
      <c r="P2384" s="132" t="s">
        <v>6242</v>
      </c>
      <c r="Q2384" s="132" t="s">
        <v>1108</v>
      </c>
    </row>
    <row r="2385" spans="1:17" x14ac:dyDescent="0.2">
      <c r="A2385" t="s">
        <v>141</v>
      </c>
      <c r="B2385" s="141">
        <f t="shared" si="38"/>
        <v>3.13</v>
      </c>
      <c r="C2385" s="280">
        <v>45908</v>
      </c>
      <c r="D2385" s="279">
        <v>45910</v>
      </c>
      <c r="E2385" s="279">
        <v>45910</v>
      </c>
      <c r="F2385" s="132"/>
      <c r="G2385" s="132" t="s">
        <v>1108</v>
      </c>
      <c r="H2385" s="132" t="s">
        <v>373</v>
      </c>
      <c r="I2385" s="132" t="s">
        <v>1100</v>
      </c>
      <c r="J2385" s="132" t="s">
        <v>1730</v>
      </c>
      <c r="K2385" s="132" t="s">
        <v>1742</v>
      </c>
      <c r="L2385" s="132" t="s">
        <v>1743</v>
      </c>
      <c r="M2385" s="132" t="s">
        <v>6293</v>
      </c>
      <c r="N2385" s="132" t="s">
        <v>1117</v>
      </c>
      <c r="O2385" s="132" t="s">
        <v>6294</v>
      </c>
      <c r="P2385" s="132" t="s">
        <v>6242</v>
      </c>
      <c r="Q2385" s="132" t="s">
        <v>1108</v>
      </c>
    </row>
    <row r="2386" spans="1:17" x14ac:dyDescent="0.2">
      <c r="A2386" t="s">
        <v>141</v>
      </c>
      <c r="B2386" s="141">
        <f t="shared" si="38"/>
        <v>3.13</v>
      </c>
      <c r="C2386" s="280">
        <v>45908</v>
      </c>
      <c r="D2386" s="279">
        <v>45910</v>
      </c>
      <c r="E2386" s="279">
        <v>45910</v>
      </c>
      <c r="F2386" s="132"/>
      <c r="G2386" s="132" t="s">
        <v>1108</v>
      </c>
      <c r="H2386" s="132" t="s">
        <v>373</v>
      </c>
      <c r="I2386" s="132" t="s">
        <v>1100</v>
      </c>
      <c r="J2386" s="132" t="s">
        <v>1730</v>
      </c>
      <c r="K2386" s="132" t="s">
        <v>1742</v>
      </c>
      <c r="L2386" s="132" t="s">
        <v>1743</v>
      </c>
      <c r="M2386" s="132" t="s">
        <v>6295</v>
      </c>
      <c r="N2386" s="132" t="s">
        <v>1117</v>
      </c>
      <c r="O2386" s="132" t="s">
        <v>6296</v>
      </c>
      <c r="P2386" s="132" t="s">
        <v>6242</v>
      </c>
      <c r="Q2386" s="132" t="s">
        <v>1108</v>
      </c>
    </row>
    <row r="2387" spans="1:17" x14ac:dyDescent="0.2">
      <c r="A2387" t="s">
        <v>141</v>
      </c>
      <c r="B2387" s="141">
        <f t="shared" si="38"/>
        <v>3.13</v>
      </c>
      <c r="C2387" s="280">
        <v>45908</v>
      </c>
      <c r="D2387" s="279">
        <v>45910</v>
      </c>
      <c r="E2387" s="279">
        <v>45910</v>
      </c>
      <c r="F2387" s="132"/>
      <c r="G2387" s="132" t="s">
        <v>1108</v>
      </c>
      <c r="H2387" s="132" t="s">
        <v>373</v>
      </c>
      <c r="I2387" s="132" t="s">
        <v>1100</v>
      </c>
      <c r="J2387" s="132" t="s">
        <v>1730</v>
      </c>
      <c r="K2387" s="132" t="s">
        <v>1742</v>
      </c>
      <c r="L2387" s="132" t="s">
        <v>1743</v>
      </c>
      <c r="M2387" s="132" t="s">
        <v>6297</v>
      </c>
      <c r="N2387" s="132" t="s">
        <v>4957</v>
      </c>
      <c r="O2387" s="132" t="s">
        <v>6298</v>
      </c>
      <c r="P2387" s="132" t="s">
        <v>6242</v>
      </c>
      <c r="Q2387" s="132" t="s">
        <v>1108</v>
      </c>
    </row>
    <row r="2388" spans="1:17" x14ac:dyDescent="0.2">
      <c r="A2388" t="s">
        <v>141</v>
      </c>
      <c r="B2388" s="141">
        <f t="shared" si="38"/>
        <v>3.13</v>
      </c>
      <c r="C2388" s="280">
        <v>45908</v>
      </c>
      <c r="D2388" s="279">
        <v>45910</v>
      </c>
      <c r="E2388" s="279">
        <v>45910</v>
      </c>
      <c r="F2388" s="132"/>
      <c r="G2388" s="132" t="s">
        <v>1108</v>
      </c>
      <c r="H2388" s="132" t="s">
        <v>373</v>
      </c>
      <c r="I2388" s="132" t="s">
        <v>1100</v>
      </c>
      <c r="J2388" s="132" t="s">
        <v>1730</v>
      </c>
      <c r="K2388" s="132" t="s">
        <v>1742</v>
      </c>
      <c r="L2388" s="132" t="s">
        <v>1743</v>
      </c>
      <c r="M2388" s="132" t="s">
        <v>6299</v>
      </c>
      <c r="N2388" s="132" t="s">
        <v>1117</v>
      </c>
      <c r="O2388" s="132" t="s">
        <v>6300</v>
      </c>
      <c r="P2388" s="132" t="s">
        <v>6242</v>
      </c>
      <c r="Q2388" s="132" t="s">
        <v>1108</v>
      </c>
    </row>
    <row r="2389" spans="1:17" x14ac:dyDescent="0.2">
      <c r="A2389" t="s">
        <v>81</v>
      </c>
      <c r="B2389" s="141">
        <f t="shared" si="38"/>
        <v>58.56</v>
      </c>
      <c r="C2389" s="280">
        <v>45908</v>
      </c>
      <c r="D2389" s="279">
        <v>45910</v>
      </c>
      <c r="E2389" s="279">
        <v>45910</v>
      </c>
      <c r="F2389" s="132"/>
      <c r="G2389" s="132" t="s">
        <v>4834</v>
      </c>
      <c r="H2389" s="132" t="s">
        <v>373</v>
      </c>
      <c r="I2389" s="132" t="s">
        <v>1100</v>
      </c>
      <c r="J2389" s="132" t="s">
        <v>4623</v>
      </c>
      <c r="K2389" s="132" t="s">
        <v>4672</v>
      </c>
      <c r="L2389" s="132" t="s">
        <v>4673</v>
      </c>
      <c r="M2389" s="132" t="s">
        <v>6301</v>
      </c>
      <c r="N2389" s="132" t="s">
        <v>1105</v>
      </c>
      <c r="O2389" s="132" t="s">
        <v>6302</v>
      </c>
      <c r="P2389" s="132" t="s">
        <v>6242</v>
      </c>
      <c r="Q2389" s="132" t="s">
        <v>1108</v>
      </c>
    </row>
    <row r="2390" spans="1:17" x14ac:dyDescent="0.2">
      <c r="A2390" t="s">
        <v>141</v>
      </c>
      <c r="B2390" s="141">
        <f t="shared" si="38"/>
        <v>3.11</v>
      </c>
      <c r="C2390" s="280">
        <v>45908</v>
      </c>
      <c r="D2390" s="279">
        <v>45910</v>
      </c>
      <c r="E2390" s="279">
        <v>45910</v>
      </c>
      <c r="F2390" s="132"/>
      <c r="G2390" s="132" t="s">
        <v>1108</v>
      </c>
      <c r="H2390" s="132" t="s">
        <v>373</v>
      </c>
      <c r="I2390" s="132" t="s">
        <v>1100</v>
      </c>
      <c r="J2390" s="132" t="s">
        <v>1730</v>
      </c>
      <c r="K2390" s="132" t="s">
        <v>1731</v>
      </c>
      <c r="L2390" s="132" t="s">
        <v>1732</v>
      </c>
      <c r="M2390" s="132" t="s">
        <v>6303</v>
      </c>
      <c r="N2390" s="132" t="s">
        <v>1112</v>
      </c>
      <c r="O2390" s="132" t="s">
        <v>6304</v>
      </c>
      <c r="P2390" s="132" t="s">
        <v>6242</v>
      </c>
      <c r="Q2390" s="132" t="s">
        <v>1108</v>
      </c>
    </row>
    <row r="2391" spans="1:17" x14ac:dyDescent="0.2">
      <c r="A2391" t="s">
        <v>141</v>
      </c>
      <c r="B2391" s="141">
        <f t="shared" si="38"/>
        <v>3.13</v>
      </c>
      <c r="C2391" s="280">
        <v>45908</v>
      </c>
      <c r="D2391" s="279">
        <v>45910</v>
      </c>
      <c r="E2391" s="279">
        <v>45910</v>
      </c>
      <c r="F2391" s="132"/>
      <c r="G2391" s="132" t="s">
        <v>1108</v>
      </c>
      <c r="H2391" s="132" t="s">
        <v>373</v>
      </c>
      <c r="I2391" s="132" t="s">
        <v>1100</v>
      </c>
      <c r="J2391" s="132" t="s">
        <v>1730</v>
      </c>
      <c r="K2391" s="132" t="s">
        <v>1742</v>
      </c>
      <c r="L2391" s="132" t="s">
        <v>1743</v>
      </c>
      <c r="M2391" s="132" t="s">
        <v>6305</v>
      </c>
      <c r="N2391" s="132" t="s">
        <v>1117</v>
      </c>
      <c r="O2391" s="132" t="s">
        <v>6306</v>
      </c>
      <c r="P2391" s="132" t="s">
        <v>6242</v>
      </c>
      <c r="Q2391" s="132" t="s">
        <v>1108</v>
      </c>
    </row>
    <row r="2392" spans="1:17" x14ac:dyDescent="0.2">
      <c r="A2392" t="s">
        <v>141</v>
      </c>
      <c r="B2392" s="141">
        <f t="shared" si="38"/>
        <v>3.13</v>
      </c>
      <c r="C2392" s="280">
        <v>45908</v>
      </c>
      <c r="D2392" s="279">
        <v>45910</v>
      </c>
      <c r="E2392" s="279">
        <v>45910</v>
      </c>
      <c r="F2392" s="132"/>
      <c r="G2392" s="132" t="s">
        <v>1108</v>
      </c>
      <c r="H2392" s="132" t="s">
        <v>373</v>
      </c>
      <c r="I2392" s="132" t="s">
        <v>1100</v>
      </c>
      <c r="J2392" s="132" t="s">
        <v>1730</v>
      </c>
      <c r="K2392" s="132" t="s">
        <v>1742</v>
      </c>
      <c r="L2392" s="132" t="s">
        <v>1743</v>
      </c>
      <c r="M2392" s="132" t="s">
        <v>6307</v>
      </c>
      <c r="N2392" s="132" t="s">
        <v>1117</v>
      </c>
      <c r="O2392" s="132" t="s">
        <v>6308</v>
      </c>
      <c r="P2392" s="132" t="s">
        <v>6242</v>
      </c>
      <c r="Q2392" s="132" t="s">
        <v>1108</v>
      </c>
    </row>
    <row r="2393" spans="1:17" x14ac:dyDescent="0.2">
      <c r="A2393" t="s">
        <v>141</v>
      </c>
      <c r="B2393" s="141">
        <f t="shared" si="38"/>
        <v>3.11</v>
      </c>
      <c r="C2393" s="280">
        <v>45908</v>
      </c>
      <c r="D2393" s="279">
        <v>45910</v>
      </c>
      <c r="E2393" s="279">
        <v>45910</v>
      </c>
      <c r="F2393" s="132"/>
      <c r="G2393" s="132" t="s">
        <v>1108</v>
      </c>
      <c r="H2393" s="132" t="s">
        <v>373</v>
      </c>
      <c r="I2393" s="132" t="s">
        <v>1100</v>
      </c>
      <c r="J2393" s="132" t="s">
        <v>1730</v>
      </c>
      <c r="K2393" s="132" t="s">
        <v>1731</v>
      </c>
      <c r="L2393" s="132" t="s">
        <v>1732</v>
      </c>
      <c r="M2393" s="132" t="s">
        <v>6309</v>
      </c>
      <c r="N2393" s="132" t="s">
        <v>1112</v>
      </c>
      <c r="O2393" s="132" t="s">
        <v>6310</v>
      </c>
      <c r="P2393" s="132" t="s">
        <v>6242</v>
      </c>
      <c r="Q2393" s="132" t="s">
        <v>1108</v>
      </c>
    </row>
    <row r="2394" spans="1:17" x14ac:dyDescent="0.2">
      <c r="A2394" t="s">
        <v>141</v>
      </c>
      <c r="B2394" s="141">
        <f t="shared" si="38"/>
        <v>3.13</v>
      </c>
      <c r="C2394" s="280">
        <v>45908</v>
      </c>
      <c r="D2394" s="279">
        <v>45910</v>
      </c>
      <c r="E2394" s="279">
        <v>45910</v>
      </c>
      <c r="F2394" s="132"/>
      <c r="G2394" s="132" t="s">
        <v>1108</v>
      </c>
      <c r="H2394" s="132" t="s">
        <v>373</v>
      </c>
      <c r="I2394" s="132" t="s">
        <v>1100</v>
      </c>
      <c r="J2394" s="132" t="s">
        <v>1730</v>
      </c>
      <c r="K2394" s="132" t="s">
        <v>1742</v>
      </c>
      <c r="L2394" s="132" t="s">
        <v>1743</v>
      </c>
      <c r="M2394" s="132" t="s">
        <v>6311</v>
      </c>
      <c r="N2394" s="132" t="s">
        <v>1117</v>
      </c>
      <c r="O2394" s="132" t="s">
        <v>6312</v>
      </c>
      <c r="P2394" s="132" t="s">
        <v>6242</v>
      </c>
      <c r="Q2394" s="132" t="s">
        <v>1108</v>
      </c>
    </row>
    <row r="2395" spans="1:17" x14ac:dyDescent="0.2">
      <c r="A2395" t="s">
        <v>141</v>
      </c>
      <c r="B2395" s="141">
        <f t="shared" si="38"/>
        <v>3.13</v>
      </c>
      <c r="C2395" s="280">
        <v>45908</v>
      </c>
      <c r="D2395" s="279">
        <v>45910</v>
      </c>
      <c r="E2395" s="279">
        <v>45910</v>
      </c>
      <c r="F2395" s="132"/>
      <c r="G2395" s="132" t="s">
        <v>1108</v>
      </c>
      <c r="H2395" s="132" t="s">
        <v>373</v>
      </c>
      <c r="I2395" s="132" t="s">
        <v>1100</v>
      </c>
      <c r="J2395" s="132" t="s">
        <v>1730</v>
      </c>
      <c r="K2395" s="132" t="s">
        <v>1742</v>
      </c>
      <c r="L2395" s="132" t="s">
        <v>1743</v>
      </c>
      <c r="M2395" s="132" t="s">
        <v>6313</v>
      </c>
      <c r="N2395" s="132" t="s">
        <v>1117</v>
      </c>
      <c r="O2395" s="132" t="s">
        <v>6314</v>
      </c>
      <c r="P2395" s="132" t="s">
        <v>6242</v>
      </c>
      <c r="Q2395" s="132" t="s">
        <v>1108</v>
      </c>
    </row>
    <row r="2396" spans="1:17" x14ac:dyDescent="0.2">
      <c r="A2396" t="s">
        <v>141</v>
      </c>
      <c r="B2396" s="141">
        <f t="shared" si="38"/>
        <v>3.13</v>
      </c>
      <c r="C2396" s="280">
        <v>45908</v>
      </c>
      <c r="D2396" s="279">
        <v>45910</v>
      </c>
      <c r="E2396" s="279">
        <v>45910</v>
      </c>
      <c r="F2396" s="132"/>
      <c r="G2396" s="132" t="s">
        <v>1108</v>
      </c>
      <c r="H2396" s="132" t="s">
        <v>373</v>
      </c>
      <c r="I2396" s="132" t="s">
        <v>1100</v>
      </c>
      <c r="J2396" s="132" t="s">
        <v>1730</v>
      </c>
      <c r="K2396" s="132" t="s">
        <v>1742</v>
      </c>
      <c r="L2396" s="132" t="s">
        <v>1743</v>
      </c>
      <c r="M2396" s="132" t="s">
        <v>6315</v>
      </c>
      <c r="N2396" s="132" t="s">
        <v>1117</v>
      </c>
      <c r="O2396" s="132" t="s">
        <v>6316</v>
      </c>
      <c r="P2396" s="132" t="s">
        <v>6242</v>
      </c>
      <c r="Q2396" s="132" t="s">
        <v>1108</v>
      </c>
    </row>
    <row r="2397" spans="1:17" x14ac:dyDescent="0.2">
      <c r="A2397" t="s">
        <v>141</v>
      </c>
      <c r="B2397" s="141">
        <f t="shared" si="38"/>
        <v>3.13</v>
      </c>
      <c r="C2397" s="280">
        <v>45908</v>
      </c>
      <c r="D2397" s="279">
        <v>45910</v>
      </c>
      <c r="E2397" s="279">
        <v>45910</v>
      </c>
      <c r="F2397" s="132"/>
      <c r="G2397" s="132" t="s">
        <v>1108</v>
      </c>
      <c r="H2397" s="132" t="s">
        <v>373</v>
      </c>
      <c r="I2397" s="132" t="s">
        <v>1100</v>
      </c>
      <c r="J2397" s="132" t="s">
        <v>1730</v>
      </c>
      <c r="K2397" s="132" t="s">
        <v>1742</v>
      </c>
      <c r="L2397" s="132" t="s">
        <v>1743</v>
      </c>
      <c r="M2397" s="132" t="s">
        <v>6317</v>
      </c>
      <c r="N2397" s="132" t="s">
        <v>1117</v>
      </c>
      <c r="O2397" s="132" t="s">
        <v>6318</v>
      </c>
      <c r="P2397" s="132" t="s">
        <v>6242</v>
      </c>
      <c r="Q2397" s="132" t="s">
        <v>1108</v>
      </c>
    </row>
    <row r="2398" spans="1:17" x14ac:dyDescent="0.2">
      <c r="A2398" t="s">
        <v>141</v>
      </c>
      <c r="B2398" s="141">
        <f t="shared" si="38"/>
        <v>3.13</v>
      </c>
      <c r="C2398" s="280">
        <v>45908</v>
      </c>
      <c r="D2398" s="279">
        <v>45910</v>
      </c>
      <c r="E2398" s="279">
        <v>45910</v>
      </c>
      <c r="F2398" s="132"/>
      <c r="G2398" s="132" t="s">
        <v>1108</v>
      </c>
      <c r="H2398" s="132" t="s">
        <v>373</v>
      </c>
      <c r="I2398" s="132" t="s">
        <v>1100</v>
      </c>
      <c r="J2398" s="132" t="s">
        <v>1730</v>
      </c>
      <c r="K2398" s="132" t="s">
        <v>1742</v>
      </c>
      <c r="L2398" s="132" t="s">
        <v>1743</v>
      </c>
      <c r="M2398" s="132" t="s">
        <v>6319</v>
      </c>
      <c r="N2398" s="132" t="s">
        <v>1117</v>
      </c>
      <c r="O2398" s="132" t="s">
        <v>6320</v>
      </c>
      <c r="P2398" s="132" t="s">
        <v>6242</v>
      </c>
      <c r="Q2398" s="132" t="s">
        <v>1108</v>
      </c>
    </row>
    <row r="2399" spans="1:17" x14ac:dyDescent="0.2">
      <c r="A2399" t="s">
        <v>141</v>
      </c>
      <c r="B2399" s="141">
        <f t="shared" si="38"/>
        <v>3.13</v>
      </c>
      <c r="C2399" s="280">
        <v>45908</v>
      </c>
      <c r="D2399" s="279">
        <v>45910</v>
      </c>
      <c r="E2399" s="279">
        <v>45910</v>
      </c>
      <c r="F2399" s="132"/>
      <c r="G2399" s="132" t="s">
        <v>1108</v>
      </c>
      <c r="H2399" s="132" t="s">
        <v>373</v>
      </c>
      <c r="I2399" s="132" t="s">
        <v>1100</v>
      </c>
      <c r="J2399" s="132" t="s">
        <v>1730</v>
      </c>
      <c r="K2399" s="132" t="s">
        <v>1742</v>
      </c>
      <c r="L2399" s="132" t="s">
        <v>1743</v>
      </c>
      <c r="M2399" s="132" t="s">
        <v>6321</v>
      </c>
      <c r="N2399" s="132" t="s">
        <v>1117</v>
      </c>
      <c r="O2399" s="132" t="s">
        <v>6322</v>
      </c>
      <c r="P2399" s="132" t="s">
        <v>6242</v>
      </c>
      <c r="Q2399" s="132" t="s">
        <v>1108</v>
      </c>
    </row>
    <row r="2400" spans="1:17" x14ac:dyDescent="0.2">
      <c r="A2400" t="s">
        <v>142</v>
      </c>
      <c r="B2400" s="141">
        <f t="shared" si="38"/>
        <v>4.57</v>
      </c>
      <c r="C2400" s="280">
        <v>45908</v>
      </c>
      <c r="D2400" s="279">
        <v>45910</v>
      </c>
      <c r="E2400" s="279">
        <v>45910</v>
      </c>
      <c r="F2400" s="132"/>
      <c r="G2400" s="132" t="s">
        <v>1108</v>
      </c>
      <c r="H2400" s="132" t="s">
        <v>373</v>
      </c>
      <c r="I2400" s="132" t="s">
        <v>1100</v>
      </c>
      <c r="J2400" s="132" t="s">
        <v>2671</v>
      </c>
      <c r="K2400" s="132" t="s">
        <v>1927</v>
      </c>
      <c r="L2400" s="132" t="s">
        <v>2740</v>
      </c>
      <c r="M2400" s="132" t="s">
        <v>6323</v>
      </c>
      <c r="N2400" s="132" t="s">
        <v>1112</v>
      </c>
      <c r="O2400" s="132" t="s">
        <v>6324</v>
      </c>
      <c r="P2400" s="132" t="s">
        <v>6242</v>
      </c>
      <c r="Q2400" s="132" t="s">
        <v>1108</v>
      </c>
    </row>
    <row r="2401" spans="1:17" x14ac:dyDescent="0.2">
      <c r="A2401" t="s">
        <v>141</v>
      </c>
      <c r="B2401" s="141">
        <f t="shared" si="38"/>
        <v>3.13</v>
      </c>
      <c r="C2401" s="280">
        <v>45908</v>
      </c>
      <c r="D2401" s="279">
        <v>45910</v>
      </c>
      <c r="E2401" s="279">
        <v>45910</v>
      </c>
      <c r="F2401" s="132"/>
      <c r="G2401" s="132" t="s">
        <v>1108</v>
      </c>
      <c r="H2401" s="132" t="s">
        <v>373</v>
      </c>
      <c r="I2401" s="132" t="s">
        <v>1100</v>
      </c>
      <c r="J2401" s="132" t="s">
        <v>1730</v>
      </c>
      <c r="K2401" s="132" t="s">
        <v>1742</v>
      </c>
      <c r="L2401" s="132" t="s">
        <v>1743</v>
      </c>
      <c r="M2401" s="132" t="s">
        <v>6325</v>
      </c>
      <c r="N2401" s="132" t="s">
        <v>1117</v>
      </c>
      <c r="O2401" s="132" t="s">
        <v>6326</v>
      </c>
      <c r="P2401" s="132" t="s">
        <v>6242</v>
      </c>
      <c r="Q2401" s="132" t="s">
        <v>1108</v>
      </c>
    </row>
    <row r="2402" spans="1:17" x14ac:dyDescent="0.2">
      <c r="A2402" t="s">
        <v>141</v>
      </c>
      <c r="B2402" s="141">
        <f t="shared" si="38"/>
        <v>3.13</v>
      </c>
      <c r="C2402" s="280">
        <v>45908</v>
      </c>
      <c r="D2402" s="279">
        <v>45910</v>
      </c>
      <c r="E2402" s="279">
        <v>45910</v>
      </c>
      <c r="F2402" s="132"/>
      <c r="G2402" s="132" t="s">
        <v>5305</v>
      </c>
      <c r="H2402" s="132" t="s">
        <v>373</v>
      </c>
      <c r="I2402" s="132" t="s">
        <v>1100</v>
      </c>
      <c r="J2402" s="132" t="s">
        <v>1730</v>
      </c>
      <c r="K2402" s="132" t="s">
        <v>1742</v>
      </c>
      <c r="L2402" s="132" t="s">
        <v>1743</v>
      </c>
      <c r="M2402" s="132" t="s">
        <v>6327</v>
      </c>
      <c r="N2402" s="132" t="s">
        <v>1105</v>
      </c>
      <c r="O2402" s="132" t="s">
        <v>6328</v>
      </c>
      <c r="P2402" s="132" t="s">
        <v>6242</v>
      </c>
      <c r="Q2402" s="132" t="s">
        <v>1108</v>
      </c>
    </row>
    <row r="2403" spans="1:17" x14ac:dyDescent="0.2">
      <c r="A2403" t="s">
        <v>81</v>
      </c>
      <c r="B2403" s="141">
        <f t="shared" si="38"/>
        <v>58.56</v>
      </c>
      <c r="C2403" s="280">
        <v>45908</v>
      </c>
      <c r="D2403" s="279">
        <v>45910</v>
      </c>
      <c r="E2403" s="279">
        <v>45910</v>
      </c>
      <c r="F2403" s="132"/>
      <c r="G2403" s="132" t="s">
        <v>4761</v>
      </c>
      <c r="H2403" s="132" t="s">
        <v>373</v>
      </c>
      <c r="I2403" s="132" t="s">
        <v>1100</v>
      </c>
      <c r="J2403" s="132" t="s">
        <v>4623</v>
      </c>
      <c r="K2403" s="132" t="s">
        <v>4672</v>
      </c>
      <c r="L2403" s="132" t="s">
        <v>4673</v>
      </c>
      <c r="M2403" s="132" t="s">
        <v>6329</v>
      </c>
      <c r="N2403" s="132" t="s">
        <v>1105</v>
      </c>
      <c r="O2403" s="132" t="s">
        <v>6330</v>
      </c>
      <c r="P2403" s="132" t="s">
        <v>6242</v>
      </c>
      <c r="Q2403" s="132" t="s">
        <v>1108</v>
      </c>
    </row>
    <row r="2404" spans="1:17" x14ac:dyDescent="0.2">
      <c r="A2404" t="s">
        <v>141</v>
      </c>
      <c r="B2404" s="141">
        <f t="shared" si="38"/>
        <v>3.13</v>
      </c>
      <c r="C2404" s="280">
        <v>45909</v>
      </c>
      <c r="D2404" s="279">
        <v>45911</v>
      </c>
      <c r="E2404" s="279">
        <v>45911</v>
      </c>
      <c r="F2404" s="132"/>
      <c r="G2404" s="132" t="s">
        <v>1108</v>
      </c>
      <c r="H2404" s="132" t="s">
        <v>373</v>
      </c>
      <c r="I2404" s="132" t="s">
        <v>1100</v>
      </c>
      <c r="J2404" s="132" t="s">
        <v>1730</v>
      </c>
      <c r="K2404" s="132" t="s">
        <v>1742</v>
      </c>
      <c r="L2404" s="132" t="s">
        <v>1743</v>
      </c>
      <c r="M2404" s="132" t="s">
        <v>6331</v>
      </c>
      <c r="N2404" s="132" t="s">
        <v>1117</v>
      </c>
      <c r="O2404" s="132" t="s">
        <v>6332</v>
      </c>
      <c r="P2404" s="132" t="s">
        <v>6333</v>
      </c>
      <c r="Q2404" s="132" t="s">
        <v>1108</v>
      </c>
    </row>
    <row r="2405" spans="1:17" x14ac:dyDescent="0.2">
      <c r="A2405" t="s">
        <v>141</v>
      </c>
      <c r="B2405" s="141">
        <f t="shared" si="38"/>
        <v>3.13</v>
      </c>
      <c r="C2405" s="280">
        <v>45909</v>
      </c>
      <c r="D2405" s="279">
        <v>45911</v>
      </c>
      <c r="E2405" s="279">
        <v>45911</v>
      </c>
      <c r="F2405" s="132"/>
      <c r="G2405" s="132" t="s">
        <v>1108</v>
      </c>
      <c r="H2405" s="132" t="s">
        <v>373</v>
      </c>
      <c r="I2405" s="132" t="s">
        <v>1100</v>
      </c>
      <c r="J2405" s="132" t="s">
        <v>1730</v>
      </c>
      <c r="K2405" s="132" t="s">
        <v>1742</v>
      </c>
      <c r="L2405" s="132" t="s">
        <v>1743</v>
      </c>
      <c r="M2405" s="132" t="s">
        <v>6334</v>
      </c>
      <c r="N2405" s="132" t="s">
        <v>1117</v>
      </c>
      <c r="O2405" s="132" t="s">
        <v>6335</v>
      </c>
      <c r="P2405" s="132" t="s">
        <v>6333</v>
      </c>
      <c r="Q2405" s="132" t="s">
        <v>1108</v>
      </c>
    </row>
    <row r="2406" spans="1:17" x14ac:dyDescent="0.2">
      <c r="A2406" t="s">
        <v>141</v>
      </c>
      <c r="B2406" s="141">
        <f t="shared" si="38"/>
        <v>3.13</v>
      </c>
      <c r="C2406" s="280">
        <v>45909</v>
      </c>
      <c r="D2406" s="279">
        <v>45911</v>
      </c>
      <c r="E2406" s="279">
        <v>45911</v>
      </c>
      <c r="F2406" s="132"/>
      <c r="G2406" s="132" t="s">
        <v>1108</v>
      </c>
      <c r="H2406" s="132" t="s">
        <v>373</v>
      </c>
      <c r="I2406" s="132" t="s">
        <v>1100</v>
      </c>
      <c r="J2406" s="132" t="s">
        <v>1730</v>
      </c>
      <c r="K2406" s="132" t="s">
        <v>1742</v>
      </c>
      <c r="L2406" s="132" t="s">
        <v>1743</v>
      </c>
      <c r="M2406" s="132" t="s">
        <v>6336</v>
      </c>
      <c r="N2406" s="132" t="s">
        <v>1117</v>
      </c>
      <c r="O2406" s="132" t="s">
        <v>6337</v>
      </c>
      <c r="P2406" s="132" t="s">
        <v>6333</v>
      </c>
      <c r="Q2406" s="132" t="s">
        <v>1108</v>
      </c>
    </row>
    <row r="2407" spans="1:17" x14ac:dyDescent="0.2">
      <c r="A2407" t="s">
        <v>141</v>
      </c>
      <c r="B2407" s="141">
        <f t="shared" si="38"/>
        <v>3.13</v>
      </c>
      <c r="C2407" s="280">
        <v>45909</v>
      </c>
      <c r="D2407" s="279">
        <v>45911</v>
      </c>
      <c r="E2407" s="279">
        <v>45911</v>
      </c>
      <c r="F2407" s="132"/>
      <c r="G2407" s="132" t="s">
        <v>4796</v>
      </c>
      <c r="H2407" s="132" t="s">
        <v>373</v>
      </c>
      <c r="I2407" s="132" t="s">
        <v>1100</v>
      </c>
      <c r="J2407" s="132" t="s">
        <v>1730</v>
      </c>
      <c r="K2407" s="132" t="s">
        <v>1742</v>
      </c>
      <c r="L2407" s="132" t="s">
        <v>1743</v>
      </c>
      <c r="M2407" s="132" t="s">
        <v>6338</v>
      </c>
      <c r="N2407" s="132" t="s">
        <v>1105</v>
      </c>
      <c r="O2407" s="132" t="s">
        <v>6339</v>
      </c>
      <c r="P2407" s="132" t="s">
        <v>6333</v>
      </c>
      <c r="Q2407" s="132" t="s">
        <v>1108</v>
      </c>
    </row>
    <row r="2408" spans="1:17" x14ac:dyDescent="0.2">
      <c r="A2408" t="s">
        <v>141</v>
      </c>
      <c r="B2408" s="141">
        <f t="shared" si="38"/>
        <v>3.13</v>
      </c>
      <c r="C2408" s="280">
        <v>45909</v>
      </c>
      <c r="D2408" s="279">
        <v>45911</v>
      </c>
      <c r="E2408" s="279">
        <v>45911</v>
      </c>
      <c r="F2408" s="132"/>
      <c r="G2408" s="132" t="s">
        <v>1108</v>
      </c>
      <c r="H2408" s="132" t="s">
        <v>373</v>
      </c>
      <c r="I2408" s="132" t="s">
        <v>1100</v>
      </c>
      <c r="J2408" s="132" t="s">
        <v>1730</v>
      </c>
      <c r="K2408" s="132" t="s">
        <v>1742</v>
      </c>
      <c r="L2408" s="132" t="s">
        <v>1743</v>
      </c>
      <c r="M2408" s="132" t="s">
        <v>6340</v>
      </c>
      <c r="N2408" s="132" t="s">
        <v>1117</v>
      </c>
      <c r="O2408" s="132" t="s">
        <v>6341</v>
      </c>
      <c r="P2408" s="132" t="s">
        <v>6333</v>
      </c>
      <c r="Q2408" s="132" t="s">
        <v>1108</v>
      </c>
    </row>
    <row r="2409" spans="1:17" x14ac:dyDescent="0.2">
      <c r="A2409" t="s">
        <v>142</v>
      </c>
      <c r="B2409" s="141">
        <f t="shared" si="38"/>
        <v>4.57</v>
      </c>
      <c r="C2409" s="280">
        <v>45909</v>
      </c>
      <c r="D2409" s="279">
        <v>45911</v>
      </c>
      <c r="E2409" s="279">
        <v>45911</v>
      </c>
      <c r="F2409" s="132"/>
      <c r="G2409" s="132" t="s">
        <v>1108</v>
      </c>
      <c r="H2409" s="132" t="s">
        <v>373</v>
      </c>
      <c r="I2409" s="132" t="s">
        <v>1100</v>
      </c>
      <c r="J2409" s="132" t="s">
        <v>2671</v>
      </c>
      <c r="K2409" s="132" t="s">
        <v>1927</v>
      </c>
      <c r="L2409" s="132" t="s">
        <v>2740</v>
      </c>
      <c r="M2409" s="132" t="s">
        <v>6342</v>
      </c>
      <c r="N2409" s="132" t="s">
        <v>1112</v>
      </c>
      <c r="O2409" s="132" t="s">
        <v>6343</v>
      </c>
      <c r="P2409" s="132" t="s">
        <v>6333</v>
      </c>
      <c r="Q2409" s="132" t="s">
        <v>1108</v>
      </c>
    </row>
    <row r="2410" spans="1:17" x14ac:dyDescent="0.2">
      <c r="A2410" t="s">
        <v>141</v>
      </c>
      <c r="B2410" s="141">
        <f t="shared" si="38"/>
        <v>3.13</v>
      </c>
      <c r="C2410" s="280">
        <v>45909</v>
      </c>
      <c r="D2410" s="279">
        <v>45911</v>
      </c>
      <c r="E2410" s="279">
        <v>45911</v>
      </c>
      <c r="F2410" s="132"/>
      <c r="G2410" s="132" t="s">
        <v>1108</v>
      </c>
      <c r="H2410" s="132" t="s">
        <v>373</v>
      </c>
      <c r="I2410" s="132" t="s">
        <v>1100</v>
      </c>
      <c r="J2410" s="132" t="s">
        <v>1730</v>
      </c>
      <c r="K2410" s="132" t="s">
        <v>1742</v>
      </c>
      <c r="L2410" s="132" t="s">
        <v>1743</v>
      </c>
      <c r="M2410" s="132" t="s">
        <v>6344</v>
      </c>
      <c r="N2410" s="132" t="s">
        <v>1117</v>
      </c>
      <c r="O2410" s="132" t="s">
        <v>6345</v>
      </c>
      <c r="P2410" s="132" t="s">
        <v>6333</v>
      </c>
      <c r="Q2410" s="132" t="s">
        <v>1108</v>
      </c>
    </row>
    <row r="2411" spans="1:17" x14ac:dyDescent="0.2">
      <c r="A2411" t="s">
        <v>142</v>
      </c>
      <c r="B2411" s="141">
        <f t="shared" si="38"/>
        <v>4.6000000000000005</v>
      </c>
      <c r="C2411" s="280">
        <v>45909</v>
      </c>
      <c r="D2411" s="279">
        <v>45911</v>
      </c>
      <c r="E2411" s="279">
        <v>45911</v>
      </c>
      <c r="F2411" s="132"/>
      <c r="G2411" s="132" t="s">
        <v>4702</v>
      </c>
      <c r="H2411" s="132" t="s">
        <v>373</v>
      </c>
      <c r="I2411" s="132" t="s">
        <v>1100</v>
      </c>
      <c r="J2411" s="132" t="s">
        <v>2671</v>
      </c>
      <c r="K2411" s="132" t="s">
        <v>2672</v>
      </c>
      <c r="L2411" s="132" t="s">
        <v>2673</v>
      </c>
      <c r="M2411" s="132" t="s">
        <v>6346</v>
      </c>
      <c r="N2411" s="132" t="s">
        <v>1105</v>
      </c>
      <c r="O2411" s="132" t="s">
        <v>6347</v>
      </c>
      <c r="P2411" s="132" t="s">
        <v>6333</v>
      </c>
      <c r="Q2411" s="132" t="s">
        <v>1108</v>
      </c>
    </row>
    <row r="2412" spans="1:17" x14ac:dyDescent="0.2">
      <c r="A2412" t="s">
        <v>141</v>
      </c>
      <c r="B2412" s="141">
        <f t="shared" si="38"/>
        <v>3.11</v>
      </c>
      <c r="C2412" s="280">
        <v>45909</v>
      </c>
      <c r="D2412" s="279">
        <v>45911</v>
      </c>
      <c r="E2412" s="279">
        <v>45911</v>
      </c>
      <c r="F2412" s="132"/>
      <c r="G2412" s="132" t="s">
        <v>1108</v>
      </c>
      <c r="H2412" s="132" t="s">
        <v>373</v>
      </c>
      <c r="I2412" s="132" t="s">
        <v>1100</v>
      </c>
      <c r="J2412" s="132" t="s">
        <v>1730</v>
      </c>
      <c r="K2412" s="132" t="s">
        <v>1731</v>
      </c>
      <c r="L2412" s="132" t="s">
        <v>1732</v>
      </c>
      <c r="M2412" s="132" t="s">
        <v>6348</v>
      </c>
      <c r="N2412" s="132" t="s">
        <v>1112</v>
      </c>
      <c r="O2412" s="132" t="s">
        <v>6349</v>
      </c>
      <c r="P2412" s="132" t="s">
        <v>6333</v>
      </c>
      <c r="Q2412" s="132" t="s">
        <v>1108</v>
      </c>
    </row>
    <row r="2413" spans="1:17" x14ac:dyDescent="0.2">
      <c r="A2413" t="s">
        <v>141</v>
      </c>
      <c r="B2413" s="141">
        <f t="shared" si="38"/>
        <v>3.13</v>
      </c>
      <c r="C2413" s="280">
        <v>45909</v>
      </c>
      <c r="D2413" s="279">
        <v>45911</v>
      </c>
      <c r="E2413" s="279">
        <v>45911</v>
      </c>
      <c r="F2413" s="132"/>
      <c r="G2413" s="132" t="s">
        <v>1108</v>
      </c>
      <c r="H2413" s="132" t="s">
        <v>373</v>
      </c>
      <c r="I2413" s="132" t="s">
        <v>1100</v>
      </c>
      <c r="J2413" s="132" t="s">
        <v>1730</v>
      </c>
      <c r="K2413" s="132" t="s">
        <v>1742</v>
      </c>
      <c r="L2413" s="132" t="s">
        <v>1743</v>
      </c>
      <c r="M2413" s="132" t="s">
        <v>6350</v>
      </c>
      <c r="N2413" s="132" t="s">
        <v>1117</v>
      </c>
      <c r="O2413" s="132" t="s">
        <v>6351</v>
      </c>
      <c r="P2413" s="132" t="s">
        <v>6333</v>
      </c>
      <c r="Q2413" s="132" t="s">
        <v>1108</v>
      </c>
    </row>
    <row r="2414" spans="1:17" x14ac:dyDescent="0.2">
      <c r="A2414" t="s">
        <v>141</v>
      </c>
      <c r="B2414" s="141">
        <f t="shared" ref="B2414:B2477" si="39">_xlfn.NUMBERVALUE(L2414)*0.01</f>
        <v>3.13</v>
      </c>
      <c r="C2414" s="280">
        <v>45909</v>
      </c>
      <c r="D2414" s="279">
        <v>45911</v>
      </c>
      <c r="E2414" s="279">
        <v>45911</v>
      </c>
      <c r="F2414" s="132"/>
      <c r="G2414" s="132" t="s">
        <v>1108</v>
      </c>
      <c r="H2414" s="132" t="s">
        <v>373</v>
      </c>
      <c r="I2414" s="132" t="s">
        <v>1100</v>
      </c>
      <c r="J2414" s="132" t="s">
        <v>1730</v>
      </c>
      <c r="K2414" s="132" t="s">
        <v>1742</v>
      </c>
      <c r="L2414" s="132" t="s">
        <v>1743</v>
      </c>
      <c r="M2414" s="132" t="s">
        <v>6352</v>
      </c>
      <c r="N2414" s="132" t="s">
        <v>1117</v>
      </c>
      <c r="O2414" s="132" t="s">
        <v>6353</v>
      </c>
      <c r="P2414" s="132" t="s">
        <v>6333</v>
      </c>
      <c r="Q2414" s="132" t="s">
        <v>1108</v>
      </c>
    </row>
    <row r="2415" spans="1:17" x14ac:dyDescent="0.2">
      <c r="A2415" t="s">
        <v>141</v>
      </c>
      <c r="B2415" s="141">
        <f t="shared" si="39"/>
        <v>3.13</v>
      </c>
      <c r="C2415" s="280">
        <v>45909</v>
      </c>
      <c r="D2415" s="279">
        <v>45911</v>
      </c>
      <c r="E2415" s="279">
        <v>45911</v>
      </c>
      <c r="F2415" s="132"/>
      <c r="G2415" s="132" t="s">
        <v>1108</v>
      </c>
      <c r="H2415" s="132" t="s">
        <v>373</v>
      </c>
      <c r="I2415" s="132" t="s">
        <v>1100</v>
      </c>
      <c r="J2415" s="132" t="s">
        <v>1730</v>
      </c>
      <c r="K2415" s="132" t="s">
        <v>1742</v>
      </c>
      <c r="L2415" s="132" t="s">
        <v>1743</v>
      </c>
      <c r="M2415" s="132" t="s">
        <v>6354</v>
      </c>
      <c r="N2415" s="132" t="s">
        <v>1117</v>
      </c>
      <c r="O2415" s="132" t="s">
        <v>6355</v>
      </c>
      <c r="P2415" s="132" t="s">
        <v>6333</v>
      </c>
      <c r="Q2415" s="132" t="s">
        <v>1108</v>
      </c>
    </row>
    <row r="2416" spans="1:17" x14ac:dyDescent="0.2">
      <c r="A2416" t="s">
        <v>141</v>
      </c>
      <c r="B2416" s="141">
        <f t="shared" si="39"/>
        <v>3.13</v>
      </c>
      <c r="C2416" s="280">
        <v>45909</v>
      </c>
      <c r="D2416" s="279">
        <v>45911</v>
      </c>
      <c r="E2416" s="279">
        <v>45911</v>
      </c>
      <c r="F2416" s="132"/>
      <c r="G2416" s="132" t="s">
        <v>1108</v>
      </c>
      <c r="H2416" s="132" t="s">
        <v>373</v>
      </c>
      <c r="I2416" s="132" t="s">
        <v>1100</v>
      </c>
      <c r="J2416" s="132" t="s">
        <v>1730</v>
      </c>
      <c r="K2416" s="132" t="s">
        <v>1742</v>
      </c>
      <c r="L2416" s="132" t="s">
        <v>1743</v>
      </c>
      <c r="M2416" s="132" t="s">
        <v>6356</v>
      </c>
      <c r="N2416" s="132" t="s">
        <v>4957</v>
      </c>
      <c r="O2416" s="132" t="s">
        <v>6357</v>
      </c>
      <c r="P2416" s="132" t="s">
        <v>6333</v>
      </c>
      <c r="Q2416" s="132" t="s">
        <v>1108</v>
      </c>
    </row>
    <row r="2417" spans="1:17" x14ac:dyDescent="0.2">
      <c r="A2417" t="s">
        <v>141</v>
      </c>
      <c r="B2417" s="141">
        <f t="shared" si="39"/>
        <v>3.13</v>
      </c>
      <c r="C2417" s="280">
        <v>45909</v>
      </c>
      <c r="D2417" s="279">
        <v>45911</v>
      </c>
      <c r="E2417" s="279">
        <v>45911</v>
      </c>
      <c r="F2417" s="132"/>
      <c r="G2417" s="132" t="s">
        <v>1108</v>
      </c>
      <c r="H2417" s="132" t="s">
        <v>373</v>
      </c>
      <c r="I2417" s="132" t="s">
        <v>1100</v>
      </c>
      <c r="J2417" s="132" t="s">
        <v>1730</v>
      </c>
      <c r="K2417" s="132" t="s">
        <v>1742</v>
      </c>
      <c r="L2417" s="132" t="s">
        <v>1743</v>
      </c>
      <c r="M2417" s="132" t="s">
        <v>6358</v>
      </c>
      <c r="N2417" s="132" t="s">
        <v>1117</v>
      </c>
      <c r="O2417" s="132" t="s">
        <v>6359</v>
      </c>
      <c r="P2417" s="132" t="s">
        <v>6333</v>
      </c>
      <c r="Q2417" s="132" t="s">
        <v>1108</v>
      </c>
    </row>
    <row r="2418" spans="1:17" x14ac:dyDescent="0.2">
      <c r="A2418" t="s">
        <v>141</v>
      </c>
      <c r="B2418" s="141">
        <f t="shared" si="39"/>
        <v>3.11</v>
      </c>
      <c r="C2418" s="280">
        <v>45909</v>
      </c>
      <c r="D2418" s="279">
        <v>45911</v>
      </c>
      <c r="E2418" s="279">
        <v>45911</v>
      </c>
      <c r="F2418" s="132"/>
      <c r="G2418" s="132" t="s">
        <v>1108</v>
      </c>
      <c r="H2418" s="132" t="s">
        <v>373</v>
      </c>
      <c r="I2418" s="132" t="s">
        <v>1100</v>
      </c>
      <c r="J2418" s="132" t="s">
        <v>1730</v>
      </c>
      <c r="K2418" s="132" t="s">
        <v>1731</v>
      </c>
      <c r="L2418" s="132" t="s">
        <v>1732</v>
      </c>
      <c r="M2418" s="132" t="s">
        <v>6360</v>
      </c>
      <c r="N2418" s="132" t="s">
        <v>1112</v>
      </c>
      <c r="O2418" s="132" t="s">
        <v>6361</v>
      </c>
      <c r="P2418" s="132" t="s">
        <v>6333</v>
      </c>
      <c r="Q2418" s="132" t="s">
        <v>1108</v>
      </c>
    </row>
    <row r="2419" spans="1:17" x14ac:dyDescent="0.2">
      <c r="A2419" t="s">
        <v>141</v>
      </c>
      <c r="B2419" s="141">
        <f t="shared" si="39"/>
        <v>3.13</v>
      </c>
      <c r="C2419" s="280">
        <v>45909</v>
      </c>
      <c r="D2419" s="279">
        <v>45911</v>
      </c>
      <c r="E2419" s="279">
        <v>45911</v>
      </c>
      <c r="F2419" s="132"/>
      <c r="G2419" s="132" t="s">
        <v>1108</v>
      </c>
      <c r="H2419" s="132" t="s">
        <v>373</v>
      </c>
      <c r="I2419" s="132" t="s">
        <v>1100</v>
      </c>
      <c r="J2419" s="132" t="s">
        <v>1730</v>
      </c>
      <c r="K2419" s="132" t="s">
        <v>1742</v>
      </c>
      <c r="L2419" s="132" t="s">
        <v>1743</v>
      </c>
      <c r="M2419" s="132" t="s">
        <v>6362</v>
      </c>
      <c r="N2419" s="132" t="s">
        <v>1117</v>
      </c>
      <c r="O2419" s="132" t="s">
        <v>6363</v>
      </c>
      <c r="P2419" s="132" t="s">
        <v>6333</v>
      </c>
      <c r="Q2419" s="132" t="s">
        <v>1108</v>
      </c>
    </row>
    <row r="2420" spans="1:17" x14ac:dyDescent="0.2">
      <c r="A2420" t="s">
        <v>141</v>
      </c>
      <c r="B2420" s="141">
        <f t="shared" si="39"/>
        <v>3.13</v>
      </c>
      <c r="C2420" s="280">
        <v>45909</v>
      </c>
      <c r="D2420" s="279">
        <v>45911</v>
      </c>
      <c r="E2420" s="279">
        <v>45911</v>
      </c>
      <c r="F2420" s="132"/>
      <c r="G2420" s="132" t="s">
        <v>1108</v>
      </c>
      <c r="H2420" s="132" t="s">
        <v>373</v>
      </c>
      <c r="I2420" s="132" t="s">
        <v>1100</v>
      </c>
      <c r="J2420" s="132" t="s">
        <v>1730</v>
      </c>
      <c r="K2420" s="132" t="s">
        <v>1742</v>
      </c>
      <c r="L2420" s="132" t="s">
        <v>1743</v>
      </c>
      <c r="M2420" s="132" t="s">
        <v>6364</v>
      </c>
      <c r="N2420" s="132" t="s">
        <v>1117</v>
      </c>
      <c r="O2420" s="132" t="s">
        <v>6365</v>
      </c>
      <c r="P2420" s="132" t="s">
        <v>6333</v>
      </c>
      <c r="Q2420" s="132" t="s">
        <v>1108</v>
      </c>
    </row>
    <row r="2421" spans="1:17" x14ac:dyDescent="0.2">
      <c r="A2421" t="s">
        <v>141</v>
      </c>
      <c r="B2421" s="141">
        <f t="shared" si="39"/>
        <v>3.13</v>
      </c>
      <c r="C2421" s="280">
        <v>45909</v>
      </c>
      <c r="D2421" s="279">
        <v>45911</v>
      </c>
      <c r="E2421" s="279">
        <v>45911</v>
      </c>
      <c r="F2421" s="132"/>
      <c r="G2421" s="132" t="s">
        <v>1108</v>
      </c>
      <c r="H2421" s="132" t="s">
        <v>373</v>
      </c>
      <c r="I2421" s="132" t="s">
        <v>1100</v>
      </c>
      <c r="J2421" s="132" t="s">
        <v>1730</v>
      </c>
      <c r="K2421" s="132" t="s">
        <v>1742</v>
      </c>
      <c r="L2421" s="132" t="s">
        <v>1743</v>
      </c>
      <c r="M2421" s="132" t="s">
        <v>6366</v>
      </c>
      <c r="N2421" s="132" t="s">
        <v>1117</v>
      </c>
      <c r="O2421" s="132" t="s">
        <v>6367</v>
      </c>
      <c r="P2421" s="132" t="s">
        <v>6333</v>
      </c>
      <c r="Q2421" s="132" t="s">
        <v>1108</v>
      </c>
    </row>
    <row r="2422" spans="1:17" x14ac:dyDescent="0.2">
      <c r="A2422" t="s">
        <v>141</v>
      </c>
      <c r="B2422" s="141">
        <f t="shared" si="39"/>
        <v>3.11</v>
      </c>
      <c r="C2422" s="280">
        <v>45909</v>
      </c>
      <c r="D2422" s="279">
        <v>45911</v>
      </c>
      <c r="E2422" s="279">
        <v>45911</v>
      </c>
      <c r="F2422" s="132"/>
      <c r="G2422" s="132" t="s">
        <v>1108</v>
      </c>
      <c r="H2422" s="132" t="s">
        <v>373</v>
      </c>
      <c r="I2422" s="132" t="s">
        <v>1100</v>
      </c>
      <c r="J2422" s="132" t="s">
        <v>1730</v>
      </c>
      <c r="K2422" s="132" t="s">
        <v>1731</v>
      </c>
      <c r="L2422" s="132" t="s">
        <v>1732</v>
      </c>
      <c r="M2422" s="132" t="s">
        <v>6368</v>
      </c>
      <c r="N2422" s="132" t="s">
        <v>1112</v>
      </c>
      <c r="O2422" s="132" t="s">
        <v>6369</v>
      </c>
      <c r="P2422" s="132" t="s">
        <v>6333</v>
      </c>
      <c r="Q2422" s="132" t="s">
        <v>1108</v>
      </c>
    </row>
    <row r="2423" spans="1:17" x14ac:dyDescent="0.2">
      <c r="A2423" t="s">
        <v>142</v>
      </c>
      <c r="B2423" s="141">
        <f t="shared" si="39"/>
        <v>4.6000000000000005</v>
      </c>
      <c r="C2423" s="280">
        <v>45909</v>
      </c>
      <c r="D2423" s="279">
        <v>45911</v>
      </c>
      <c r="E2423" s="279">
        <v>45911</v>
      </c>
      <c r="F2423" s="132"/>
      <c r="G2423" s="132" t="s">
        <v>6370</v>
      </c>
      <c r="H2423" s="132" t="s">
        <v>373</v>
      </c>
      <c r="I2423" s="132" t="s">
        <v>1100</v>
      </c>
      <c r="J2423" s="132" t="s">
        <v>2671</v>
      </c>
      <c r="K2423" s="132" t="s">
        <v>2672</v>
      </c>
      <c r="L2423" s="132" t="s">
        <v>2673</v>
      </c>
      <c r="M2423" s="132" t="s">
        <v>6371</v>
      </c>
      <c r="N2423" s="132" t="s">
        <v>1105</v>
      </c>
      <c r="O2423" s="132" t="s">
        <v>6372</v>
      </c>
      <c r="P2423" s="132" t="s">
        <v>6333</v>
      </c>
      <c r="Q2423" s="132" t="s">
        <v>1108</v>
      </c>
    </row>
    <row r="2424" spans="1:17" x14ac:dyDescent="0.2">
      <c r="A2424" t="s">
        <v>142</v>
      </c>
      <c r="B2424" s="141">
        <f t="shared" si="39"/>
        <v>9.51</v>
      </c>
      <c r="C2424" s="280">
        <v>45909</v>
      </c>
      <c r="D2424" s="279">
        <v>45911</v>
      </c>
      <c r="E2424" s="279">
        <v>45911</v>
      </c>
      <c r="F2424" s="132"/>
      <c r="G2424" s="132" t="s">
        <v>1108</v>
      </c>
      <c r="H2424" s="132" t="s">
        <v>373</v>
      </c>
      <c r="I2424" s="132" t="s">
        <v>1100</v>
      </c>
      <c r="J2424" s="132" t="s">
        <v>5217</v>
      </c>
      <c r="K2424" s="132" t="s">
        <v>5218</v>
      </c>
      <c r="L2424" s="132" t="s">
        <v>3767</v>
      </c>
      <c r="M2424" s="132" t="s">
        <v>6373</v>
      </c>
      <c r="N2424" s="132" t="s">
        <v>1117</v>
      </c>
      <c r="O2424" s="132" t="s">
        <v>6374</v>
      </c>
      <c r="P2424" s="132" t="s">
        <v>6333</v>
      </c>
      <c r="Q2424" s="132" t="s">
        <v>1108</v>
      </c>
    </row>
    <row r="2425" spans="1:17" x14ac:dyDescent="0.2">
      <c r="A2425" t="s">
        <v>142</v>
      </c>
      <c r="B2425" s="141">
        <f t="shared" si="39"/>
        <v>4.6000000000000005</v>
      </c>
      <c r="C2425" s="280">
        <v>45909</v>
      </c>
      <c r="D2425" s="279">
        <v>45911</v>
      </c>
      <c r="E2425" s="279">
        <v>45911</v>
      </c>
      <c r="F2425" s="132"/>
      <c r="G2425" s="132" t="s">
        <v>1108</v>
      </c>
      <c r="H2425" s="132" t="s">
        <v>373</v>
      </c>
      <c r="I2425" s="132" t="s">
        <v>1100</v>
      </c>
      <c r="J2425" s="132" t="s">
        <v>2671</v>
      </c>
      <c r="K2425" s="132" t="s">
        <v>2672</v>
      </c>
      <c r="L2425" s="132" t="s">
        <v>2673</v>
      </c>
      <c r="M2425" s="132" t="s">
        <v>6375</v>
      </c>
      <c r="N2425" s="132" t="s">
        <v>1117</v>
      </c>
      <c r="O2425" s="132" t="s">
        <v>6376</v>
      </c>
      <c r="P2425" s="132" t="s">
        <v>6333</v>
      </c>
      <c r="Q2425" s="132" t="s">
        <v>1108</v>
      </c>
    </row>
    <row r="2426" spans="1:17" x14ac:dyDescent="0.2">
      <c r="A2426" t="s">
        <v>141</v>
      </c>
      <c r="B2426" s="141">
        <f t="shared" si="39"/>
        <v>3.11</v>
      </c>
      <c r="C2426" s="280">
        <v>45909</v>
      </c>
      <c r="D2426" s="279">
        <v>45911</v>
      </c>
      <c r="E2426" s="279">
        <v>45911</v>
      </c>
      <c r="F2426" s="132"/>
      <c r="G2426" s="132" t="s">
        <v>1108</v>
      </c>
      <c r="H2426" s="132" t="s">
        <v>373</v>
      </c>
      <c r="I2426" s="132" t="s">
        <v>1100</v>
      </c>
      <c r="J2426" s="132" t="s">
        <v>1730</v>
      </c>
      <c r="K2426" s="132" t="s">
        <v>1731</v>
      </c>
      <c r="L2426" s="132" t="s">
        <v>1732</v>
      </c>
      <c r="M2426" s="132" t="s">
        <v>6377</v>
      </c>
      <c r="N2426" s="132" t="s">
        <v>1112</v>
      </c>
      <c r="O2426" s="132" t="s">
        <v>6378</v>
      </c>
      <c r="P2426" s="132" t="s">
        <v>6333</v>
      </c>
      <c r="Q2426" s="132" t="s">
        <v>1108</v>
      </c>
    </row>
    <row r="2427" spans="1:17" x14ac:dyDescent="0.2">
      <c r="A2427" t="s">
        <v>141</v>
      </c>
      <c r="B2427" s="141">
        <f t="shared" si="39"/>
        <v>3.11</v>
      </c>
      <c r="C2427" s="280">
        <v>45909</v>
      </c>
      <c r="D2427" s="279">
        <v>45911</v>
      </c>
      <c r="E2427" s="279">
        <v>45911</v>
      </c>
      <c r="F2427" s="132"/>
      <c r="G2427" s="132" t="s">
        <v>1108</v>
      </c>
      <c r="H2427" s="132" t="s">
        <v>373</v>
      </c>
      <c r="I2427" s="132" t="s">
        <v>1100</v>
      </c>
      <c r="J2427" s="132" t="s">
        <v>1730</v>
      </c>
      <c r="K2427" s="132" t="s">
        <v>1731</v>
      </c>
      <c r="L2427" s="132" t="s">
        <v>1732</v>
      </c>
      <c r="M2427" s="132" t="s">
        <v>6379</v>
      </c>
      <c r="N2427" s="132" t="s">
        <v>1112</v>
      </c>
      <c r="O2427" s="132" t="s">
        <v>6380</v>
      </c>
      <c r="P2427" s="132" t="s">
        <v>6333</v>
      </c>
      <c r="Q2427" s="132" t="s">
        <v>1108</v>
      </c>
    </row>
    <row r="2428" spans="1:17" x14ac:dyDescent="0.2">
      <c r="A2428" t="s">
        <v>142</v>
      </c>
      <c r="B2428" s="141">
        <f t="shared" si="39"/>
        <v>4.6000000000000005</v>
      </c>
      <c r="C2428" s="280">
        <v>45909</v>
      </c>
      <c r="D2428" s="279">
        <v>45911</v>
      </c>
      <c r="E2428" s="279">
        <v>45911</v>
      </c>
      <c r="F2428" s="132"/>
      <c r="G2428" s="132" t="s">
        <v>1108</v>
      </c>
      <c r="H2428" s="132" t="s">
        <v>373</v>
      </c>
      <c r="I2428" s="132" t="s">
        <v>1100</v>
      </c>
      <c r="J2428" s="132" t="s">
        <v>2671</v>
      </c>
      <c r="K2428" s="132" t="s">
        <v>2672</v>
      </c>
      <c r="L2428" s="132" t="s">
        <v>2673</v>
      </c>
      <c r="M2428" s="132" t="s">
        <v>6381</v>
      </c>
      <c r="N2428" s="132" t="s">
        <v>4957</v>
      </c>
      <c r="O2428" s="132" t="s">
        <v>6382</v>
      </c>
      <c r="P2428" s="132" t="s">
        <v>6333</v>
      </c>
      <c r="Q2428" s="132" t="s">
        <v>1108</v>
      </c>
    </row>
    <row r="2429" spans="1:17" x14ac:dyDescent="0.2">
      <c r="A2429" t="s">
        <v>142</v>
      </c>
      <c r="B2429" s="141">
        <f t="shared" si="39"/>
        <v>4.6000000000000005</v>
      </c>
      <c r="C2429" s="280">
        <v>45909</v>
      </c>
      <c r="D2429" s="279">
        <v>45911</v>
      </c>
      <c r="E2429" s="279">
        <v>45911</v>
      </c>
      <c r="F2429" s="132"/>
      <c r="G2429" s="132" t="s">
        <v>6383</v>
      </c>
      <c r="H2429" s="132" t="s">
        <v>373</v>
      </c>
      <c r="I2429" s="132" t="s">
        <v>1100</v>
      </c>
      <c r="J2429" s="132" t="s">
        <v>2671</v>
      </c>
      <c r="K2429" s="132" t="s">
        <v>2672</v>
      </c>
      <c r="L2429" s="132" t="s">
        <v>2673</v>
      </c>
      <c r="M2429" s="132" t="s">
        <v>6384</v>
      </c>
      <c r="N2429" s="132" t="s">
        <v>1105</v>
      </c>
      <c r="O2429" s="132" t="s">
        <v>6385</v>
      </c>
      <c r="P2429" s="132" t="s">
        <v>6333</v>
      </c>
      <c r="Q2429" s="132" t="s">
        <v>1108</v>
      </c>
    </row>
    <row r="2430" spans="1:17" x14ac:dyDescent="0.2">
      <c r="A2430" t="s">
        <v>142</v>
      </c>
      <c r="B2430" s="141">
        <f t="shared" si="39"/>
        <v>4.6000000000000005</v>
      </c>
      <c r="C2430" s="280">
        <v>45909</v>
      </c>
      <c r="D2430" s="279">
        <v>45911</v>
      </c>
      <c r="E2430" s="279">
        <v>45911</v>
      </c>
      <c r="F2430" s="132"/>
      <c r="G2430" s="132" t="s">
        <v>1108</v>
      </c>
      <c r="H2430" s="132" t="s">
        <v>373</v>
      </c>
      <c r="I2430" s="132" t="s">
        <v>1100</v>
      </c>
      <c r="J2430" s="132" t="s">
        <v>2671</v>
      </c>
      <c r="K2430" s="132" t="s">
        <v>2672</v>
      </c>
      <c r="L2430" s="132" t="s">
        <v>2673</v>
      </c>
      <c r="M2430" s="132" t="s">
        <v>6386</v>
      </c>
      <c r="N2430" s="132" t="s">
        <v>1117</v>
      </c>
      <c r="O2430" s="132" t="s">
        <v>6387</v>
      </c>
      <c r="P2430" s="132" t="s">
        <v>6333</v>
      </c>
      <c r="Q2430" s="132" t="s">
        <v>1108</v>
      </c>
    </row>
    <row r="2431" spans="1:17" x14ac:dyDescent="0.2">
      <c r="A2431" t="s">
        <v>142</v>
      </c>
      <c r="B2431" s="141">
        <f t="shared" si="39"/>
        <v>4.6000000000000005</v>
      </c>
      <c r="C2431" s="280">
        <v>45909</v>
      </c>
      <c r="D2431" s="279">
        <v>45911</v>
      </c>
      <c r="E2431" s="279">
        <v>45911</v>
      </c>
      <c r="F2431" s="132"/>
      <c r="G2431" s="132" t="s">
        <v>1108</v>
      </c>
      <c r="H2431" s="132" t="s">
        <v>373</v>
      </c>
      <c r="I2431" s="132" t="s">
        <v>1100</v>
      </c>
      <c r="J2431" s="132" t="s">
        <v>2671</v>
      </c>
      <c r="K2431" s="132" t="s">
        <v>2672</v>
      </c>
      <c r="L2431" s="132" t="s">
        <v>2673</v>
      </c>
      <c r="M2431" s="132" t="s">
        <v>6388</v>
      </c>
      <c r="N2431" s="132" t="s">
        <v>1117</v>
      </c>
      <c r="O2431" s="132" t="s">
        <v>6389</v>
      </c>
      <c r="P2431" s="132" t="s">
        <v>6333</v>
      </c>
      <c r="Q2431" s="132" t="s">
        <v>1108</v>
      </c>
    </row>
    <row r="2432" spans="1:17" x14ac:dyDescent="0.2">
      <c r="A2432" t="s">
        <v>141</v>
      </c>
      <c r="B2432" s="141">
        <f t="shared" si="39"/>
        <v>3.13</v>
      </c>
      <c r="C2432" s="280">
        <v>45909</v>
      </c>
      <c r="D2432" s="279">
        <v>45911</v>
      </c>
      <c r="E2432" s="279">
        <v>45911</v>
      </c>
      <c r="F2432" s="132"/>
      <c r="G2432" s="132" t="s">
        <v>6055</v>
      </c>
      <c r="H2432" s="132" t="s">
        <v>373</v>
      </c>
      <c r="I2432" s="132" t="s">
        <v>1100</v>
      </c>
      <c r="J2432" s="132" t="s">
        <v>1730</v>
      </c>
      <c r="K2432" s="132" t="s">
        <v>1742</v>
      </c>
      <c r="L2432" s="132" t="s">
        <v>1743</v>
      </c>
      <c r="M2432" s="132" t="s">
        <v>6390</v>
      </c>
      <c r="N2432" s="132" t="s">
        <v>1105</v>
      </c>
      <c r="O2432" s="132" t="s">
        <v>6391</v>
      </c>
      <c r="P2432" s="132" t="s">
        <v>6333</v>
      </c>
      <c r="Q2432" s="132" t="s">
        <v>1108</v>
      </c>
    </row>
    <row r="2433" spans="1:17" x14ac:dyDescent="0.2">
      <c r="A2433" t="s">
        <v>141</v>
      </c>
      <c r="B2433" s="141">
        <f t="shared" si="39"/>
        <v>3.13</v>
      </c>
      <c r="C2433" s="280">
        <v>45909</v>
      </c>
      <c r="D2433" s="279">
        <v>45911</v>
      </c>
      <c r="E2433" s="279">
        <v>45911</v>
      </c>
      <c r="F2433" s="132"/>
      <c r="G2433" s="132" t="s">
        <v>4814</v>
      </c>
      <c r="H2433" s="132" t="s">
        <v>373</v>
      </c>
      <c r="I2433" s="132" t="s">
        <v>1100</v>
      </c>
      <c r="J2433" s="132" t="s">
        <v>1730</v>
      </c>
      <c r="K2433" s="132" t="s">
        <v>1742</v>
      </c>
      <c r="L2433" s="132" t="s">
        <v>1743</v>
      </c>
      <c r="M2433" s="132" t="s">
        <v>6392</v>
      </c>
      <c r="N2433" s="132" t="s">
        <v>1105</v>
      </c>
      <c r="O2433" s="132" t="s">
        <v>6393</v>
      </c>
      <c r="P2433" s="132" t="s">
        <v>6333</v>
      </c>
      <c r="Q2433" s="132" t="s">
        <v>1108</v>
      </c>
    </row>
    <row r="2434" spans="1:17" x14ac:dyDescent="0.2">
      <c r="A2434" t="s">
        <v>141</v>
      </c>
      <c r="B2434" s="141">
        <f t="shared" si="39"/>
        <v>3.13</v>
      </c>
      <c r="C2434" s="280">
        <v>45909</v>
      </c>
      <c r="D2434" s="279">
        <v>45911</v>
      </c>
      <c r="E2434" s="279">
        <v>45911</v>
      </c>
      <c r="F2434" s="132"/>
      <c r="G2434" s="132" t="s">
        <v>4858</v>
      </c>
      <c r="H2434" s="132" t="s">
        <v>373</v>
      </c>
      <c r="I2434" s="132" t="s">
        <v>1100</v>
      </c>
      <c r="J2434" s="132" t="s">
        <v>1730</v>
      </c>
      <c r="K2434" s="132" t="s">
        <v>1742</v>
      </c>
      <c r="L2434" s="132" t="s">
        <v>1743</v>
      </c>
      <c r="M2434" s="132" t="s">
        <v>6394</v>
      </c>
      <c r="N2434" s="132" t="s">
        <v>1105</v>
      </c>
      <c r="O2434" s="132" t="s">
        <v>6395</v>
      </c>
      <c r="P2434" s="132" t="s">
        <v>6333</v>
      </c>
      <c r="Q2434" s="132" t="s">
        <v>1108</v>
      </c>
    </row>
    <row r="2435" spans="1:17" x14ac:dyDescent="0.2">
      <c r="A2435" t="s">
        <v>141</v>
      </c>
      <c r="B2435" s="141">
        <f t="shared" si="39"/>
        <v>3.13</v>
      </c>
      <c r="C2435" s="280">
        <v>45909</v>
      </c>
      <c r="D2435" s="279">
        <v>45911</v>
      </c>
      <c r="E2435" s="279">
        <v>45911</v>
      </c>
      <c r="F2435" s="132"/>
      <c r="G2435" s="132" t="s">
        <v>4732</v>
      </c>
      <c r="H2435" s="132" t="s">
        <v>373</v>
      </c>
      <c r="I2435" s="132" t="s">
        <v>1100</v>
      </c>
      <c r="J2435" s="132" t="s">
        <v>1730</v>
      </c>
      <c r="K2435" s="132" t="s">
        <v>1742</v>
      </c>
      <c r="L2435" s="132" t="s">
        <v>1743</v>
      </c>
      <c r="M2435" s="132" t="s">
        <v>6396</v>
      </c>
      <c r="N2435" s="132" t="s">
        <v>1105</v>
      </c>
      <c r="O2435" s="132" t="s">
        <v>6397</v>
      </c>
      <c r="P2435" s="132" t="s">
        <v>6333</v>
      </c>
      <c r="Q2435" s="132" t="s">
        <v>1108</v>
      </c>
    </row>
    <row r="2436" spans="1:17" x14ac:dyDescent="0.2">
      <c r="A2436" t="s">
        <v>142</v>
      </c>
      <c r="B2436" s="141">
        <f t="shared" si="39"/>
        <v>4.6000000000000005</v>
      </c>
      <c r="C2436" s="280">
        <v>45909</v>
      </c>
      <c r="D2436" s="279">
        <v>45911</v>
      </c>
      <c r="E2436" s="279">
        <v>45911</v>
      </c>
      <c r="F2436" s="132"/>
      <c r="G2436" s="132" t="s">
        <v>1108</v>
      </c>
      <c r="H2436" s="132" t="s">
        <v>373</v>
      </c>
      <c r="I2436" s="132" t="s">
        <v>1100</v>
      </c>
      <c r="J2436" s="132" t="s">
        <v>2671</v>
      </c>
      <c r="K2436" s="132" t="s">
        <v>2672</v>
      </c>
      <c r="L2436" s="132" t="s">
        <v>2673</v>
      </c>
      <c r="M2436" s="132" t="s">
        <v>6398</v>
      </c>
      <c r="N2436" s="132" t="s">
        <v>1117</v>
      </c>
      <c r="O2436" s="132" t="s">
        <v>6399</v>
      </c>
      <c r="P2436" s="132" t="s">
        <v>6333</v>
      </c>
      <c r="Q2436" s="132" t="s">
        <v>1108</v>
      </c>
    </row>
    <row r="2437" spans="1:17" x14ac:dyDescent="0.2">
      <c r="A2437" t="s">
        <v>142</v>
      </c>
      <c r="B2437" s="141">
        <f t="shared" si="39"/>
        <v>4.6000000000000005</v>
      </c>
      <c r="C2437" s="280">
        <v>45909</v>
      </c>
      <c r="D2437" s="279">
        <v>45911</v>
      </c>
      <c r="E2437" s="279">
        <v>45911</v>
      </c>
      <c r="F2437" s="132"/>
      <c r="G2437" s="132" t="s">
        <v>1108</v>
      </c>
      <c r="H2437" s="132" t="s">
        <v>373</v>
      </c>
      <c r="I2437" s="132" t="s">
        <v>1100</v>
      </c>
      <c r="J2437" s="132" t="s">
        <v>2671</v>
      </c>
      <c r="K2437" s="132" t="s">
        <v>2672</v>
      </c>
      <c r="L2437" s="132" t="s">
        <v>2673</v>
      </c>
      <c r="M2437" s="132" t="s">
        <v>6400</v>
      </c>
      <c r="N2437" s="132" t="s">
        <v>1117</v>
      </c>
      <c r="O2437" s="132" t="s">
        <v>6401</v>
      </c>
      <c r="P2437" s="132" t="s">
        <v>6333</v>
      </c>
      <c r="Q2437" s="132" t="s">
        <v>1108</v>
      </c>
    </row>
    <row r="2438" spans="1:17" x14ac:dyDescent="0.2">
      <c r="A2438" t="s">
        <v>142</v>
      </c>
      <c r="B2438" s="141">
        <f t="shared" si="39"/>
        <v>4.6000000000000005</v>
      </c>
      <c r="C2438" s="280">
        <v>45909</v>
      </c>
      <c r="D2438" s="279">
        <v>45911</v>
      </c>
      <c r="E2438" s="279">
        <v>45911</v>
      </c>
      <c r="F2438" s="132"/>
      <c r="G2438" s="132" t="s">
        <v>1108</v>
      </c>
      <c r="H2438" s="132" t="s">
        <v>373</v>
      </c>
      <c r="I2438" s="132" t="s">
        <v>1100</v>
      </c>
      <c r="J2438" s="132" t="s">
        <v>2671</v>
      </c>
      <c r="K2438" s="132" t="s">
        <v>2672</v>
      </c>
      <c r="L2438" s="132" t="s">
        <v>2673</v>
      </c>
      <c r="M2438" s="132" t="s">
        <v>6402</v>
      </c>
      <c r="N2438" s="132" t="s">
        <v>1117</v>
      </c>
      <c r="O2438" s="132" t="s">
        <v>6403</v>
      </c>
      <c r="P2438" s="132" t="s">
        <v>6333</v>
      </c>
      <c r="Q2438" s="132" t="s">
        <v>1108</v>
      </c>
    </row>
    <row r="2439" spans="1:17" x14ac:dyDescent="0.2">
      <c r="A2439" t="s">
        <v>142</v>
      </c>
      <c r="B2439" s="141">
        <f t="shared" si="39"/>
        <v>9.51</v>
      </c>
      <c r="C2439" s="280">
        <v>45909</v>
      </c>
      <c r="D2439" s="279">
        <v>45911</v>
      </c>
      <c r="E2439" s="279">
        <v>45911</v>
      </c>
      <c r="F2439" s="132"/>
      <c r="G2439" s="132" t="s">
        <v>1108</v>
      </c>
      <c r="H2439" s="132" t="s">
        <v>373</v>
      </c>
      <c r="I2439" s="132" t="s">
        <v>1100</v>
      </c>
      <c r="J2439" s="132" t="s">
        <v>5217</v>
      </c>
      <c r="K2439" s="132" t="s">
        <v>5218</v>
      </c>
      <c r="L2439" s="132" t="s">
        <v>3767</v>
      </c>
      <c r="M2439" s="132" t="s">
        <v>6404</v>
      </c>
      <c r="N2439" s="132" t="s">
        <v>1117</v>
      </c>
      <c r="O2439" s="132" t="s">
        <v>6405</v>
      </c>
      <c r="P2439" s="132" t="s">
        <v>6333</v>
      </c>
      <c r="Q2439" s="132" t="s">
        <v>1108</v>
      </c>
    </row>
    <row r="2440" spans="1:17" x14ac:dyDescent="0.2">
      <c r="A2440" t="s">
        <v>141</v>
      </c>
      <c r="B2440" s="141">
        <f t="shared" si="39"/>
        <v>3.13</v>
      </c>
      <c r="C2440" s="280">
        <v>45909</v>
      </c>
      <c r="D2440" s="279">
        <v>45911</v>
      </c>
      <c r="E2440" s="279">
        <v>45911</v>
      </c>
      <c r="F2440" s="132"/>
      <c r="G2440" s="132" t="s">
        <v>1108</v>
      </c>
      <c r="H2440" s="132" t="s">
        <v>373</v>
      </c>
      <c r="I2440" s="132" t="s">
        <v>1100</v>
      </c>
      <c r="J2440" s="132" t="s">
        <v>1730</v>
      </c>
      <c r="K2440" s="132" t="s">
        <v>1742</v>
      </c>
      <c r="L2440" s="132" t="s">
        <v>1743</v>
      </c>
      <c r="M2440" s="132" t="s">
        <v>6406</v>
      </c>
      <c r="N2440" s="132" t="s">
        <v>1117</v>
      </c>
      <c r="O2440" s="132" t="s">
        <v>6407</v>
      </c>
      <c r="P2440" s="132" t="s">
        <v>6333</v>
      </c>
      <c r="Q2440" s="132" t="s">
        <v>1108</v>
      </c>
    </row>
    <row r="2441" spans="1:17" x14ac:dyDescent="0.2">
      <c r="A2441" t="s">
        <v>142</v>
      </c>
      <c r="B2441" s="141">
        <f t="shared" si="39"/>
        <v>4.6000000000000005</v>
      </c>
      <c r="C2441" s="280">
        <v>45909</v>
      </c>
      <c r="D2441" s="279">
        <v>45911</v>
      </c>
      <c r="E2441" s="279">
        <v>45911</v>
      </c>
      <c r="F2441" s="132"/>
      <c r="G2441" s="132" t="s">
        <v>1108</v>
      </c>
      <c r="H2441" s="132" t="s">
        <v>373</v>
      </c>
      <c r="I2441" s="132" t="s">
        <v>1100</v>
      </c>
      <c r="J2441" s="132" t="s">
        <v>2671</v>
      </c>
      <c r="K2441" s="132" t="s">
        <v>2672</v>
      </c>
      <c r="L2441" s="132" t="s">
        <v>2673</v>
      </c>
      <c r="M2441" s="132" t="s">
        <v>6408</v>
      </c>
      <c r="N2441" s="132" t="s">
        <v>1117</v>
      </c>
      <c r="O2441" s="132" t="s">
        <v>6409</v>
      </c>
      <c r="P2441" s="132" t="s">
        <v>6333</v>
      </c>
      <c r="Q2441" s="132" t="s">
        <v>1108</v>
      </c>
    </row>
    <row r="2442" spans="1:17" x14ac:dyDescent="0.2">
      <c r="A2442" t="s">
        <v>141</v>
      </c>
      <c r="B2442" s="141">
        <f t="shared" si="39"/>
        <v>3.13</v>
      </c>
      <c r="C2442" s="280">
        <v>45909</v>
      </c>
      <c r="D2442" s="279">
        <v>45911</v>
      </c>
      <c r="E2442" s="279">
        <v>45911</v>
      </c>
      <c r="F2442" s="132"/>
      <c r="G2442" s="132" t="s">
        <v>1108</v>
      </c>
      <c r="H2442" s="132" t="s">
        <v>373</v>
      </c>
      <c r="I2442" s="132" t="s">
        <v>1100</v>
      </c>
      <c r="J2442" s="132" t="s">
        <v>1730</v>
      </c>
      <c r="K2442" s="132" t="s">
        <v>1742</v>
      </c>
      <c r="L2442" s="132" t="s">
        <v>1743</v>
      </c>
      <c r="M2442" s="132" t="s">
        <v>6410</v>
      </c>
      <c r="N2442" s="132" t="s">
        <v>1117</v>
      </c>
      <c r="O2442" s="132" t="s">
        <v>6411</v>
      </c>
      <c r="P2442" s="132" t="s">
        <v>6333</v>
      </c>
      <c r="Q2442" s="132" t="s">
        <v>1108</v>
      </c>
    </row>
    <row r="2443" spans="1:17" x14ac:dyDescent="0.2">
      <c r="A2443" t="s">
        <v>141</v>
      </c>
      <c r="B2443" s="141">
        <f t="shared" si="39"/>
        <v>3.13</v>
      </c>
      <c r="C2443" s="280">
        <v>45909</v>
      </c>
      <c r="D2443" s="279">
        <v>45911</v>
      </c>
      <c r="E2443" s="279">
        <v>45911</v>
      </c>
      <c r="F2443" s="132"/>
      <c r="G2443" s="132" t="s">
        <v>1108</v>
      </c>
      <c r="H2443" s="132" t="s">
        <v>373</v>
      </c>
      <c r="I2443" s="132" t="s">
        <v>1100</v>
      </c>
      <c r="J2443" s="132" t="s">
        <v>1730</v>
      </c>
      <c r="K2443" s="132" t="s">
        <v>1742</v>
      </c>
      <c r="L2443" s="132" t="s">
        <v>1743</v>
      </c>
      <c r="M2443" s="132" t="s">
        <v>6412</v>
      </c>
      <c r="N2443" s="132" t="s">
        <v>1117</v>
      </c>
      <c r="O2443" s="132" t="s">
        <v>6413</v>
      </c>
      <c r="P2443" s="132" t="s">
        <v>6333</v>
      </c>
      <c r="Q2443" s="132" t="s">
        <v>1108</v>
      </c>
    </row>
    <row r="2444" spans="1:17" x14ac:dyDescent="0.2">
      <c r="A2444" t="s">
        <v>293</v>
      </c>
      <c r="B2444" s="141">
        <f t="shared" si="39"/>
        <v>53.32</v>
      </c>
      <c r="C2444" s="280">
        <v>45909</v>
      </c>
      <c r="D2444" s="279">
        <v>45911</v>
      </c>
      <c r="E2444" s="279">
        <v>45911</v>
      </c>
      <c r="F2444" s="132"/>
      <c r="G2444" s="132" t="s">
        <v>1108</v>
      </c>
      <c r="H2444" s="132" t="s">
        <v>373</v>
      </c>
      <c r="I2444" s="132" t="s">
        <v>1100</v>
      </c>
      <c r="J2444" s="132" t="s">
        <v>5602</v>
      </c>
      <c r="K2444" s="132" t="s">
        <v>5603</v>
      </c>
      <c r="L2444" s="132" t="s">
        <v>5604</v>
      </c>
      <c r="M2444" s="132" t="s">
        <v>6414</v>
      </c>
      <c r="N2444" s="132" t="s">
        <v>1112</v>
      </c>
      <c r="O2444" s="132" t="s">
        <v>6415</v>
      </c>
      <c r="P2444" s="132" t="s">
        <v>6333</v>
      </c>
      <c r="Q2444" s="132" t="s">
        <v>1108</v>
      </c>
    </row>
    <row r="2445" spans="1:17" x14ac:dyDescent="0.2">
      <c r="A2445" t="s">
        <v>142</v>
      </c>
      <c r="B2445" s="141">
        <f t="shared" si="39"/>
        <v>9.51</v>
      </c>
      <c r="C2445" s="280">
        <v>45909</v>
      </c>
      <c r="D2445" s="279">
        <v>45911</v>
      </c>
      <c r="E2445" s="279">
        <v>45911</v>
      </c>
      <c r="F2445" s="132"/>
      <c r="G2445" s="132" t="s">
        <v>6416</v>
      </c>
      <c r="H2445" s="132" t="s">
        <v>373</v>
      </c>
      <c r="I2445" s="132" t="s">
        <v>1100</v>
      </c>
      <c r="J2445" s="132" t="s">
        <v>5217</v>
      </c>
      <c r="K2445" s="132" t="s">
        <v>5218</v>
      </c>
      <c r="L2445" s="132" t="s">
        <v>3767</v>
      </c>
      <c r="M2445" s="132" t="s">
        <v>6417</v>
      </c>
      <c r="N2445" s="132" t="s">
        <v>1105</v>
      </c>
      <c r="O2445" s="132" t="s">
        <v>6418</v>
      </c>
      <c r="P2445" s="132" t="s">
        <v>6333</v>
      </c>
      <c r="Q2445" s="132" t="s">
        <v>1108</v>
      </c>
    </row>
    <row r="2446" spans="1:17" x14ac:dyDescent="0.2">
      <c r="A2446" t="s">
        <v>141</v>
      </c>
      <c r="B2446" s="141">
        <f t="shared" si="39"/>
        <v>3.11</v>
      </c>
      <c r="C2446" s="280">
        <v>45909</v>
      </c>
      <c r="D2446" s="279">
        <v>45911</v>
      </c>
      <c r="E2446" s="279">
        <v>45911</v>
      </c>
      <c r="F2446" s="132"/>
      <c r="G2446" s="132" t="s">
        <v>1108</v>
      </c>
      <c r="H2446" s="132" t="s">
        <v>373</v>
      </c>
      <c r="I2446" s="132" t="s">
        <v>1100</v>
      </c>
      <c r="J2446" s="132" t="s">
        <v>1730</v>
      </c>
      <c r="K2446" s="132" t="s">
        <v>1731</v>
      </c>
      <c r="L2446" s="132" t="s">
        <v>1732</v>
      </c>
      <c r="M2446" s="132" t="s">
        <v>6419</v>
      </c>
      <c r="N2446" s="132" t="s">
        <v>1112</v>
      </c>
      <c r="O2446" s="132" t="s">
        <v>6420</v>
      </c>
      <c r="P2446" s="132" t="s">
        <v>6333</v>
      </c>
      <c r="Q2446" s="132" t="s">
        <v>1108</v>
      </c>
    </row>
    <row r="2447" spans="1:17" x14ac:dyDescent="0.2">
      <c r="A2447" t="s">
        <v>141</v>
      </c>
      <c r="B2447" s="141">
        <f t="shared" si="39"/>
        <v>3.13</v>
      </c>
      <c r="C2447" s="280">
        <v>45909</v>
      </c>
      <c r="D2447" s="279">
        <v>45911</v>
      </c>
      <c r="E2447" s="279">
        <v>45911</v>
      </c>
      <c r="F2447" s="132"/>
      <c r="G2447" s="132" t="s">
        <v>1108</v>
      </c>
      <c r="H2447" s="132" t="s">
        <v>373</v>
      </c>
      <c r="I2447" s="132" t="s">
        <v>1100</v>
      </c>
      <c r="J2447" s="132" t="s">
        <v>1730</v>
      </c>
      <c r="K2447" s="132" t="s">
        <v>1742</v>
      </c>
      <c r="L2447" s="132" t="s">
        <v>1743</v>
      </c>
      <c r="M2447" s="132" t="s">
        <v>6421</v>
      </c>
      <c r="N2447" s="132" t="s">
        <v>1117</v>
      </c>
      <c r="O2447" s="132" t="s">
        <v>6422</v>
      </c>
      <c r="P2447" s="132" t="s">
        <v>6333</v>
      </c>
      <c r="Q2447" s="132" t="s">
        <v>1108</v>
      </c>
    </row>
    <row r="2448" spans="1:17" x14ac:dyDescent="0.2">
      <c r="A2448" t="s">
        <v>81</v>
      </c>
      <c r="B2448" s="141">
        <f t="shared" si="39"/>
        <v>58.2</v>
      </c>
      <c r="C2448" s="280">
        <v>45909</v>
      </c>
      <c r="D2448" s="279">
        <v>45911</v>
      </c>
      <c r="E2448" s="279">
        <v>45911</v>
      </c>
      <c r="F2448" s="132"/>
      <c r="G2448" s="132" t="s">
        <v>1108</v>
      </c>
      <c r="H2448" s="132" t="s">
        <v>373</v>
      </c>
      <c r="I2448" s="132" t="s">
        <v>1100</v>
      </c>
      <c r="J2448" s="132" t="s">
        <v>4623</v>
      </c>
      <c r="K2448" s="132" t="s">
        <v>4624</v>
      </c>
      <c r="L2448" s="132" t="s">
        <v>4625</v>
      </c>
      <c r="M2448" s="132" t="s">
        <v>6423</v>
      </c>
      <c r="N2448" s="132" t="s">
        <v>1112</v>
      </c>
      <c r="O2448" s="132" t="s">
        <v>6424</v>
      </c>
      <c r="P2448" s="132" t="s">
        <v>6333</v>
      </c>
      <c r="Q2448" s="132" t="s">
        <v>1108</v>
      </c>
    </row>
    <row r="2449" spans="1:17" x14ac:dyDescent="0.2">
      <c r="A2449" t="s">
        <v>142</v>
      </c>
      <c r="B2449" s="141">
        <f t="shared" si="39"/>
        <v>4.6000000000000005</v>
      </c>
      <c r="C2449" s="280">
        <v>45909</v>
      </c>
      <c r="D2449" s="279">
        <v>45911</v>
      </c>
      <c r="E2449" s="279">
        <v>45911</v>
      </c>
      <c r="F2449" s="132"/>
      <c r="G2449" s="132" t="s">
        <v>1108</v>
      </c>
      <c r="H2449" s="132" t="s">
        <v>373</v>
      </c>
      <c r="I2449" s="132" t="s">
        <v>1100</v>
      </c>
      <c r="J2449" s="132" t="s">
        <v>2671</v>
      </c>
      <c r="K2449" s="132" t="s">
        <v>2672</v>
      </c>
      <c r="L2449" s="132" t="s">
        <v>2673</v>
      </c>
      <c r="M2449" s="132" t="s">
        <v>6425</v>
      </c>
      <c r="N2449" s="132" t="s">
        <v>1117</v>
      </c>
      <c r="O2449" s="132" t="s">
        <v>6426</v>
      </c>
      <c r="P2449" s="132" t="s">
        <v>6333</v>
      </c>
      <c r="Q2449" s="132" t="s">
        <v>1108</v>
      </c>
    </row>
    <row r="2450" spans="1:17" x14ac:dyDescent="0.2">
      <c r="A2450" t="s">
        <v>141</v>
      </c>
      <c r="B2450" s="141">
        <f t="shared" si="39"/>
        <v>3.11</v>
      </c>
      <c r="C2450" s="280">
        <v>45909</v>
      </c>
      <c r="D2450" s="279">
        <v>45911</v>
      </c>
      <c r="E2450" s="279">
        <v>45911</v>
      </c>
      <c r="F2450" s="132"/>
      <c r="G2450" s="132" t="s">
        <v>1108</v>
      </c>
      <c r="H2450" s="132" t="s">
        <v>373</v>
      </c>
      <c r="I2450" s="132" t="s">
        <v>1100</v>
      </c>
      <c r="J2450" s="132" t="s">
        <v>1730</v>
      </c>
      <c r="K2450" s="132" t="s">
        <v>1731</v>
      </c>
      <c r="L2450" s="132" t="s">
        <v>1732</v>
      </c>
      <c r="M2450" s="132" t="s">
        <v>6427</v>
      </c>
      <c r="N2450" s="132" t="s">
        <v>1112</v>
      </c>
      <c r="O2450" s="132" t="s">
        <v>6428</v>
      </c>
      <c r="P2450" s="132" t="s">
        <v>6333</v>
      </c>
      <c r="Q2450" s="132" t="s">
        <v>1108</v>
      </c>
    </row>
    <row r="2451" spans="1:17" x14ac:dyDescent="0.2">
      <c r="A2451" t="s">
        <v>141</v>
      </c>
      <c r="B2451" s="141">
        <f t="shared" si="39"/>
        <v>3.11</v>
      </c>
      <c r="C2451" s="280">
        <v>45909</v>
      </c>
      <c r="D2451" s="279">
        <v>45911</v>
      </c>
      <c r="E2451" s="279">
        <v>45911</v>
      </c>
      <c r="F2451" s="132"/>
      <c r="G2451" s="132" t="s">
        <v>1108</v>
      </c>
      <c r="H2451" s="132" t="s">
        <v>373</v>
      </c>
      <c r="I2451" s="132" t="s">
        <v>1100</v>
      </c>
      <c r="J2451" s="132" t="s">
        <v>1730</v>
      </c>
      <c r="K2451" s="132" t="s">
        <v>1731</v>
      </c>
      <c r="L2451" s="132" t="s">
        <v>1732</v>
      </c>
      <c r="M2451" s="132" t="s">
        <v>6429</v>
      </c>
      <c r="N2451" s="132" t="s">
        <v>1112</v>
      </c>
      <c r="O2451" s="132" t="s">
        <v>6430</v>
      </c>
      <c r="P2451" s="132" t="s">
        <v>6333</v>
      </c>
      <c r="Q2451" s="132" t="s">
        <v>1108</v>
      </c>
    </row>
    <row r="2452" spans="1:17" x14ac:dyDescent="0.2">
      <c r="A2452" t="s">
        <v>142</v>
      </c>
      <c r="B2452" s="141">
        <f t="shared" si="39"/>
        <v>7.99</v>
      </c>
      <c r="C2452" s="280">
        <v>45909</v>
      </c>
      <c r="D2452" s="279">
        <v>45911</v>
      </c>
      <c r="E2452" s="279">
        <v>45911</v>
      </c>
      <c r="F2452" s="132"/>
      <c r="G2452" s="132" t="s">
        <v>1108</v>
      </c>
      <c r="H2452" s="132" t="s">
        <v>373</v>
      </c>
      <c r="I2452" s="132" t="s">
        <v>1100</v>
      </c>
      <c r="J2452" s="132" t="s">
        <v>6133</v>
      </c>
      <c r="K2452" s="132" t="s">
        <v>6249</v>
      </c>
      <c r="L2452" s="132" t="s">
        <v>1173</v>
      </c>
      <c r="M2452" s="132" t="s">
        <v>6431</v>
      </c>
      <c r="N2452" s="132" t="s">
        <v>1112</v>
      </c>
      <c r="O2452" s="132" t="s">
        <v>6432</v>
      </c>
      <c r="P2452" s="132" t="s">
        <v>6333</v>
      </c>
      <c r="Q2452" s="132" t="s">
        <v>1108</v>
      </c>
    </row>
    <row r="2453" spans="1:17" x14ac:dyDescent="0.2">
      <c r="A2453" t="s">
        <v>141</v>
      </c>
      <c r="B2453" s="141">
        <f t="shared" si="39"/>
        <v>3.11</v>
      </c>
      <c r="C2453" s="280">
        <v>45909</v>
      </c>
      <c r="D2453" s="279">
        <v>45911</v>
      </c>
      <c r="E2453" s="279">
        <v>45911</v>
      </c>
      <c r="F2453" s="132"/>
      <c r="G2453" s="132" t="s">
        <v>1108</v>
      </c>
      <c r="H2453" s="132" t="s">
        <v>373</v>
      </c>
      <c r="I2453" s="132" t="s">
        <v>1100</v>
      </c>
      <c r="J2453" s="132" t="s">
        <v>1730</v>
      </c>
      <c r="K2453" s="132" t="s">
        <v>1731</v>
      </c>
      <c r="L2453" s="132" t="s">
        <v>1732</v>
      </c>
      <c r="M2453" s="132" t="s">
        <v>6433</v>
      </c>
      <c r="N2453" s="132" t="s">
        <v>1112</v>
      </c>
      <c r="O2453" s="132" t="s">
        <v>6434</v>
      </c>
      <c r="P2453" s="132" t="s">
        <v>6333</v>
      </c>
      <c r="Q2453" s="132" t="s">
        <v>1108</v>
      </c>
    </row>
    <row r="2454" spans="1:17" x14ac:dyDescent="0.2">
      <c r="A2454" t="s">
        <v>142</v>
      </c>
      <c r="B2454" s="141">
        <f t="shared" si="39"/>
        <v>4.6000000000000005</v>
      </c>
      <c r="C2454" s="280">
        <v>45909</v>
      </c>
      <c r="D2454" s="279">
        <v>45911</v>
      </c>
      <c r="E2454" s="279">
        <v>45911</v>
      </c>
      <c r="F2454" s="132"/>
      <c r="G2454" s="132" t="s">
        <v>1108</v>
      </c>
      <c r="H2454" s="132" t="s">
        <v>373</v>
      </c>
      <c r="I2454" s="132" t="s">
        <v>1100</v>
      </c>
      <c r="J2454" s="132" t="s">
        <v>2671</v>
      </c>
      <c r="K2454" s="132" t="s">
        <v>2672</v>
      </c>
      <c r="L2454" s="132" t="s">
        <v>2673</v>
      </c>
      <c r="M2454" s="132" t="s">
        <v>6435</v>
      </c>
      <c r="N2454" s="132" t="s">
        <v>1117</v>
      </c>
      <c r="O2454" s="132" t="s">
        <v>6436</v>
      </c>
      <c r="P2454" s="132" t="s">
        <v>6333</v>
      </c>
      <c r="Q2454" s="132" t="s">
        <v>1108</v>
      </c>
    </row>
    <row r="2455" spans="1:17" x14ac:dyDescent="0.2">
      <c r="A2455" t="s">
        <v>141</v>
      </c>
      <c r="B2455" s="141">
        <f t="shared" si="39"/>
        <v>3.13</v>
      </c>
      <c r="C2455" s="280">
        <v>45909</v>
      </c>
      <c r="D2455" s="279">
        <v>45911</v>
      </c>
      <c r="E2455" s="279">
        <v>45911</v>
      </c>
      <c r="F2455" s="132"/>
      <c r="G2455" s="132" t="s">
        <v>1108</v>
      </c>
      <c r="H2455" s="132" t="s">
        <v>373</v>
      </c>
      <c r="I2455" s="132" t="s">
        <v>1100</v>
      </c>
      <c r="J2455" s="132" t="s">
        <v>1730</v>
      </c>
      <c r="K2455" s="132" t="s">
        <v>1742</v>
      </c>
      <c r="L2455" s="132" t="s">
        <v>1743</v>
      </c>
      <c r="M2455" s="132" t="s">
        <v>6437</v>
      </c>
      <c r="N2455" s="132" t="s">
        <v>1117</v>
      </c>
      <c r="O2455" s="132" t="s">
        <v>6438</v>
      </c>
      <c r="P2455" s="132" t="s">
        <v>6333</v>
      </c>
      <c r="Q2455" s="132" t="s">
        <v>1108</v>
      </c>
    </row>
    <row r="2456" spans="1:17" x14ac:dyDescent="0.2">
      <c r="A2456" t="s">
        <v>141</v>
      </c>
      <c r="B2456" s="141">
        <f t="shared" si="39"/>
        <v>3.11</v>
      </c>
      <c r="C2456" s="280">
        <v>45909</v>
      </c>
      <c r="D2456" s="279">
        <v>45911</v>
      </c>
      <c r="E2456" s="279">
        <v>45911</v>
      </c>
      <c r="F2456" s="132"/>
      <c r="G2456" s="132" t="s">
        <v>1108</v>
      </c>
      <c r="H2456" s="132" t="s">
        <v>373</v>
      </c>
      <c r="I2456" s="132" t="s">
        <v>1100</v>
      </c>
      <c r="J2456" s="132" t="s">
        <v>1730</v>
      </c>
      <c r="K2456" s="132" t="s">
        <v>1731</v>
      </c>
      <c r="L2456" s="132" t="s">
        <v>1732</v>
      </c>
      <c r="M2456" s="132" t="s">
        <v>6439</v>
      </c>
      <c r="N2456" s="132" t="s">
        <v>1112</v>
      </c>
      <c r="O2456" s="132" t="s">
        <v>6440</v>
      </c>
      <c r="P2456" s="132" t="s">
        <v>6333</v>
      </c>
      <c r="Q2456" s="132" t="s">
        <v>1108</v>
      </c>
    </row>
    <row r="2457" spans="1:17" x14ac:dyDescent="0.2">
      <c r="A2457" t="s">
        <v>141</v>
      </c>
      <c r="B2457" s="141">
        <f t="shared" si="39"/>
        <v>3.13</v>
      </c>
      <c r="C2457" s="280">
        <v>45909</v>
      </c>
      <c r="D2457" s="279">
        <v>45911</v>
      </c>
      <c r="E2457" s="279">
        <v>45911</v>
      </c>
      <c r="F2457" s="132"/>
      <c r="G2457" s="132" t="s">
        <v>1108</v>
      </c>
      <c r="H2457" s="132" t="s">
        <v>373</v>
      </c>
      <c r="I2457" s="132" t="s">
        <v>1100</v>
      </c>
      <c r="J2457" s="132" t="s">
        <v>1730</v>
      </c>
      <c r="K2457" s="132" t="s">
        <v>1742</v>
      </c>
      <c r="L2457" s="132" t="s">
        <v>1743</v>
      </c>
      <c r="M2457" s="132" t="s">
        <v>6441</v>
      </c>
      <c r="N2457" s="132" t="s">
        <v>1117</v>
      </c>
      <c r="O2457" s="132" t="s">
        <v>6442</v>
      </c>
      <c r="P2457" s="132" t="s">
        <v>6333</v>
      </c>
      <c r="Q2457" s="132" t="s">
        <v>1108</v>
      </c>
    </row>
    <row r="2458" spans="1:17" x14ac:dyDescent="0.2">
      <c r="A2458" t="s">
        <v>141</v>
      </c>
      <c r="B2458" s="141">
        <f t="shared" si="39"/>
        <v>3.13</v>
      </c>
      <c r="C2458" s="280">
        <v>45909</v>
      </c>
      <c r="D2458" s="279">
        <v>45911</v>
      </c>
      <c r="E2458" s="279">
        <v>45911</v>
      </c>
      <c r="F2458" s="132"/>
      <c r="G2458" s="132" t="s">
        <v>1108</v>
      </c>
      <c r="H2458" s="132" t="s">
        <v>373</v>
      </c>
      <c r="I2458" s="132" t="s">
        <v>1100</v>
      </c>
      <c r="J2458" s="132" t="s">
        <v>1730</v>
      </c>
      <c r="K2458" s="132" t="s">
        <v>1742</v>
      </c>
      <c r="L2458" s="132" t="s">
        <v>1743</v>
      </c>
      <c r="M2458" s="132" t="s">
        <v>6443</v>
      </c>
      <c r="N2458" s="132" t="s">
        <v>1117</v>
      </c>
      <c r="O2458" s="132" t="s">
        <v>6444</v>
      </c>
      <c r="P2458" s="132" t="s">
        <v>6333</v>
      </c>
      <c r="Q2458" s="132" t="s">
        <v>1108</v>
      </c>
    </row>
    <row r="2459" spans="1:17" x14ac:dyDescent="0.2">
      <c r="A2459" t="s">
        <v>141</v>
      </c>
      <c r="B2459" s="141">
        <f t="shared" si="39"/>
        <v>3.13</v>
      </c>
      <c r="C2459" s="280">
        <v>45909</v>
      </c>
      <c r="D2459" s="279">
        <v>45911</v>
      </c>
      <c r="E2459" s="279">
        <v>45911</v>
      </c>
      <c r="F2459" s="132"/>
      <c r="G2459" s="132" t="s">
        <v>5295</v>
      </c>
      <c r="H2459" s="132" t="s">
        <v>373</v>
      </c>
      <c r="I2459" s="132" t="s">
        <v>1100</v>
      </c>
      <c r="J2459" s="132" t="s">
        <v>1730</v>
      </c>
      <c r="K2459" s="132" t="s">
        <v>1742</v>
      </c>
      <c r="L2459" s="132" t="s">
        <v>1743</v>
      </c>
      <c r="M2459" s="132" t="s">
        <v>6445</v>
      </c>
      <c r="N2459" s="132" t="s">
        <v>1105</v>
      </c>
      <c r="O2459" s="132" t="s">
        <v>6446</v>
      </c>
      <c r="P2459" s="132" t="s">
        <v>6333</v>
      </c>
      <c r="Q2459" s="132" t="s">
        <v>1108</v>
      </c>
    </row>
    <row r="2460" spans="1:17" x14ac:dyDescent="0.2">
      <c r="A2460" t="s">
        <v>141</v>
      </c>
      <c r="B2460" s="141">
        <f t="shared" si="39"/>
        <v>3.11</v>
      </c>
      <c r="C2460" s="280">
        <v>45909</v>
      </c>
      <c r="D2460" s="279">
        <v>45911</v>
      </c>
      <c r="E2460" s="279">
        <v>45911</v>
      </c>
      <c r="F2460" s="132"/>
      <c r="G2460" s="132" t="s">
        <v>1108</v>
      </c>
      <c r="H2460" s="132" t="s">
        <v>373</v>
      </c>
      <c r="I2460" s="132" t="s">
        <v>1100</v>
      </c>
      <c r="J2460" s="132" t="s">
        <v>1730</v>
      </c>
      <c r="K2460" s="132" t="s">
        <v>1731</v>
      </c>
      <c r="L2460" s="132" t="s">
        <v>1732</v>
      </c>
      <c r="M2460" s="132" t="s">
        <v>6447</v>
      </c>
      <c r="N2460" s="132" t="s">
        <v>1112</v>
      </c>
      <c r="O2460" s="132" t="s">
        <v>6448</v>
      </c>
      <c r="P2460" s="132" t="s">
        <v>6333</v>
      </c>
      <c r="Q2460" s="132" t="s">
        <v>1108</v>
      </c>
    </row>
    <row r="2461" spans="1:17" x14ac:dyDescent="0.2">
      <c r="A2461" t="s">
        <v>141</v>
      </c>
      <c r="B2461" s="141">
        <f t="shared" si="39"/>
        <v>3.13</v>
      </c>
      <c r="C2461" s="280">
        <v>45909</v>
      </c>
      <c r="D2461" s="279">
        <v>45911</v>
      </c>
      <c r="E2461" s="279">
        <v>45911</v>
      </c>
      <c r="F2461" s="132"/>
      <c r="G2461" s="132" t="s">
        <v>1108</v>
      </c>
      <c r="H2461" s="132" t="s">
        <v>373</v>
      </c>
      <c r="I2461" s="132" t="s">
        <v>1100</v>
      </c>
      <c r="J2461" s="132" t="s">
        <v>1730</v>
      </c>
      <c r="K2461" s="132" t="s">
        <v>1742</v>
      </c>
      <c r="L2461" s="132" t="s">
        <v>1743</v>
      </c>
      <c r="M2461" s="132" t="s">
        <v>6449</v>
      </c>
      <c r="N2461" s="132" t="s">
        <v>4957</v>
      </c>
      <c r="O2461" s="132" t="s">
        <v>6450</v>
      </c>
      <c r="P2461" s="132" t="s">
        <v>6333</v>
      </c>
      <c r="Q2461" s="132" t="s">
        <v>1108</v>
      </c>
    </row>
    <row r="2462" spans="1:17" x14ac:dyDescent="0.2">
      <c r="A2462" t="s">
        <v>141</v>
      </c>
      <c r="B2462" s="141">
        <f t="shared" si="39"/>
        <v>3.13</v>
      </c>
      <c r="C2462" s="280">
        <v>45909</v>
      </c>
      <c r="D2462" s="279">
        <v>45911</v>
      </c>
      <c r="E2462" s="279">
        <v>45911</v>
      </c>
      <c r="F2462" s="132"/>
      <c r="G2462" s="132" t="s">
        <v>1108</v>
      </c>
      <c r="H2462" s="132" t="s">
        <v>373</v>
      </c>
      <c r="I2462" s="132" t="s">
        <v>1100</v>
      </c>
      <c r="J2462" s="132" t="s">
        <v>1730</v>
      </c>
      <c r="K2462" s="132" t="s">
        <v>1742</v>
      </c>
      <c r="L2462" s="132" t="s">
        <v>1743</v>
      </c>
      <c r="M2462" s="132" t="s">
        <v>6451</v>
      </c>
      <c r="N2462" s="132" t="s">
        <v>1117</v>
      </c>
      <c r="O2462" s="132" t="s">
        <v>6452</v>
      </c>
      <c r="P2462" s="132" t="s">
        <v>6333</v>
      </c>
      <c r="Q2462" s="132" t="s">
        <v>1108</v>
      </c>
    </row>
    <row r="2463" spans="1:17" x14ac:dyDescent="0.2">
      <c r="A2463" t="s">
        <v>141</v>
      </c>
      <c r="B2463" s="141">
        <f t="shared" si="39"/>
        <v>3.11</v>
      </c>
      <c r="C2463" s="280">
        <v>45909</v>
      </c>
      <c r="D2463" s="279">
        <v>45911</v>
      </c>
      <c r="E2463" s="279">
        <v>45911</v>
      </c>
      <c r="F2463" s="132"/>
      <c r="G2463" s="132" t="s">
        <v>1108</v>
      </c>
      <c r="H2463" s="132" t="s">
        <v>373</v>
      </c>
      <c r="I2463" s="132" t="s">
        <v>1100</v>
      </c>
      <c r="J2463" s="132" t="s">
        <v>1730</v>
      </c>
      <c r="K2463" s="132" t="s">
        <v>1731</v>
      </c>
      <c r="L2463" s="132" t="s">
        <v>1732</v>
      </c>
      <c r="M2463" s="132" t="s">
        <v>6453</v>
      </c>
      <c r="N2463" s="132" t="s">
        <v>1112</v>
      </c>
      <c r="O2463" s="132" t="s">
        <v>6454</v>
      </c>
      <c r="P2463" s="132" t="s">
        <v>6333</v>
      </c>
      <c r="Q2463" s="132" t="s">
        <v>1108</v>
      </c>
    </row>
    <row r="2464" spans="1:17" x14ac:dyDescent="0.2">
      <c r="A2464" t="s">
        <v>141</v>
      </c>
      <c r="B2464" s="141">
        <f t="shared" si="39"/>
        <v>3.13</v>
      </c>
      <c r="C2464" s="280">
        <v>45909</v>
      </c>
      <c r="D2464" s="279">
        <v>45911</v>
      </c>
      <c r="E2464" s="279">
        <v>45911</v>
      </c>
      <c r="F2464" s="132"/>
      <c r="G2464" s="132" t="s">
        <v>1108</v>
      </c>
      <c r="H2464" s="132" t="s">
        <v>373</v>
      </c>
      <c r="I2464" s="132" t="s">
        <v>1100</v>
      </c>
      <c r="J2464" s="132" t="s">
        <v>1730</v>
      </c>
      <c r="K2464" s="132" t="s">
        <v>1742</v>
      </c>
      <c r="L2464" s="132" t="s">
        <v>1743</v>
      </c>
      <c r="M2464" s="132" t="s">
        <v>6455</v>
      </c>
      <c r="N2464" s="132" t="s">
        <v>1117</v>
      </c>
      <c r="O2464" s="132" t="s">
        <v>6456</v>
      </c>
      <c r="P2464" s="132" t="s">
        <v>6333</v>
      </c>
      <c r="Q2464" s="132" t="s">
        <v>1108</v>
      </c>
    </row>
    <row r="2465" spans="1:17" x14ac:dyDescent="0.2">
      <c r="A2465" t="s">
        <v>141</v>
      </c>
      <c r="B2465" s="141">
        <f t="shared" si="39"/>
        <v>3.13</v>
      </c>
      <c r="C2465" s="280">
        <v>45909</v>
      </c>
      <c r="D2465" s="279">
        <v>45911</v>
      </c>
      <c r="E2465" s="279">
        <v>45911</v>
      </c>
      <c r="F2465" s="132"/>
      <c r="G2465" s="132" t="s">
        <v>4881</v>
      </c>
      <c r="H2465" s="132" t="s">
        <v>373</v>
      </c>
      <c r="I2465" s="132" t="s">
        <v>1100</v>
      </c>
      <c r="J2465" s="132" t="s">
        <v>1730</v>
      </c>
      <c r="K2465" s="132" t="s">
        <v>1742</v>
      </c>
      <c r="L2465" s="132" t="s">
        <v>1743</v>
      </c>
      <c r="M2465" s="132" t="s">
        <v>6457</v>
      </c>
      <c r="N2465" s="132" t="s">
        <v>1105</v>
      </c>
      <c r="O2465" s="132" t="s">
        <v>6458</v>
      </c>
      <c r="P2465" s="132" t="s">
        <v>6333</v>
      </c>
      <c r="Q2465" s="132" t="s">
        <v>1108</v>
      </c>
    </row>
    <row r="2466" spans="1:17" x14ac:dyDescent="0.2">
      <c r="A2466" t="s">
        <v>141</v>
      </c>
      <c r="B2466" s="141">
        <f t="shared" si="39"/>
        <v>3.13</v>
      </c>
      <c r="C2466" s="280">
        <v>45909</v>
      </c>
      <c r="D2466" s="279">
        <v>45911</v>
      </c>
      <c r="E2466" s="279">
        <v>45911</v>
      </c>
      <c r="F2466" s="132"/>
      <c r="G2466" s="132" t="s">
        <v>1108</v>
      </c>
      <c r="H2466" s="132" t="s">
        <v>373</v>
      </c>
      <c r="I2466" s="132" t="s">
        <v>1100</v>
      </c>
      <c r="J2466" s="132" t="s">
        <v>1730</v>
      </c>
      <c r="K2466" s="132" t="s">
        <v>1742</v>
      </c>
      <c r="L2466" s="132" t="s">
        <v>1743</v>
      </c>
      <c r="M2466" s="132" t="s">
        <v>6459</v>
      </c>
      <c r="N2466" s="132" t="s">
        <v>1117</v>
      </c>
      <c r="O2466" s="132" t="s">
        <v>6460</v>
      </c>
      <c r="P2466" s="132" t="s">
        <v>6333</v>
      </c>
      <c r="Q2466" s="132" t="s">
        <v>1108</v>
      </c>
    </row>
    <row r="2467" spans="1:17" x14ac:dyDescent="0.2">
      <c r="A2467" t="s">
        <v>141</v>
      </c>
      <c r="B2467" s="141">
        <f t="shared" si="39"/>
        <v>3.11</v>
      </c>
      <c r="C2467" s="280">
        <v>45909</v>
      </c>
      <c r="D2467" s="279">
        <v>45911</v>
      </c>
      <c r="E2467" s="279">
        <v>45911</v>
      </c>
      <c r="F2467" s="132"/>
      <c r="G2467" s="132" t="s">
        <v>1108</v>
      </c>
      <c r="H2467" s="132" t="s">
        <v>373</v>
      </c>
      <c r="I2467" s="132" t="s">
        <v>1100</v>
      </c>
      <c r="J2467" s="132" t="s">
        <v>1730</v>
      </c>
      <c r="K2467" s="132" t="s">
        <v>1731</v>
      </c>
      <c r="L2467" s="132" t="s">
        <v>1732</v>
      </c>
      <c r="M2467" s="132" t="s">
        <v>6461</v>
      </c>
      <c r="N2467" s="132" t="s">
        <v>1112</v>
      </c>
      <c r="O2467" s="132" t="s">
        <v>6462</v>
      </c>
      <c r="P2467" s="132" t="s">
        <v>6333</v>
      </c>
      <c r="Q2467" s="132" t="s">
        <v>1108</v>
      </c>
    </row>
    <row r="2468" spans="1:17" x14ac:dyDescent="0.2">
      <c r="A2468" t="s">
        <v>141</v>
      </c>
      <c r="B2468" s="141">
        <f t="shared" si="39"/>
        <v>3.13</v>
      </c>
      <c r="C2468" s="280">
        <v>45909</v>
      </c>
      <c r="D2468" s="279">
        <v>45911</v>
      </c>
      <c r="E2468" s="279">
        <v>45911</v>
      </c>
      <c r="F2468" s="132"/>
      <c r="G2468" s="132" t="s">
        <v>1108</v>
      </c>
      <c r="H2468" s="132" t="s">
        <v>373</v>
      </c>
      <c r="I2468" s="132" t="s">
        <v>1100</v>
      </c>
      <c r="J2468" s="132" t="s">
        <v>1730</v>
      </c>
      <c r="K2468" s="132" t="s">
        <v>1742</v>
      </c>
      <c r="L2468" s="132" t="s">
        <v>1743</v>
      </c>
      <c r="M2468" s="132" t="s">
        <v>6463</v>
      </c>
      <c r="N2468" s="132" t="s">
        <v>1117</v>
      </c>
      <c r="O2468" s="132" t="s">
        <v>6464</v>
      </c>
      <c r="P2468" s="132" t="s">
        <v>6333</v>
      </c>
      <c r="Q2468" s="132" t="s">
        <v>1108</v>
      </c>
    </row>
    <row r="2469" spans="1:17" x14ac:dyDescent="0.2">
      <c r="A2469" t="s">
        <v>293</v>
      </c>
      <c r="B2469" s="141">
        <f t="shared" si="39"/>
        <v>53.32</v>
      </c>
      <c r="C2469" s="280">
        <v>45910</v>
      </c>
      <c r="D2469" s="279">
        <v>45912</v>
      </c>
      <c r="E2469" s="279">
        <v>45912</v>
      </c>
      <c r="F2469" s="132"/>
      <c r="G2469" s="132" t="s">
        <v>1108</v>
      </c>
      <c r="H2469" s="132" t="s">
        <v>373</v>
      </c>
      <c r="I2469" s="132" t="s">
        <v>1100</v>
      </c>
      <c r="J2469" s="132" t="s">
        <v>5602</v>
      </c>
      <c r="K2469" s="132" t="s">
        <v>5603</v>
      </c>
      <c r="L2469" s="132" t="s">
        <v>5604</v>
      </c>
      <c r="M2469" s="132" t="s">
        <v>6465</v>
      </c>
      <c r="N2469" s="132" t="s">
        <v>1112</v>
      </c>
      <c r="O2469" s="132" t="s">
        <v>6466</v>
      </c>
      <c r="P2469" s="132" t="s">
        <v>6467</v>
      </c>
      <c r="Q2469" s="132" t="s">
        <v>1108</v>
      </c>
    </row>
    <row r="2470" spans="1:17" x14ac:dyDescent="0.2">
      <c r="A2470" t="s">
        <v>293</v>
      </c>
      <c r="B2470" s="141">
        <f t="shared" si="39"/>
        <v>53.65</v>
      </c>
      <c r="C2470" s="280">
        <v>45910</v>
      </c>
      <c r="D2470" s="279">
        <v>45912</v>
      </c>
      <c r="E2470" s="279">
        <v>45912</v>
      </c>
      <c r="F2470" s="132"/>
      <c r="G2470" s="132" t="s">
        <v>4814</v>
      </c>
      <c r="H2470" s="132" t="s">
        <v>373</v>
      </c>
      <c r="I2470" s="132" t="s">
        <v>1100</v>
      </c>
      <c r="J2470" s="132" t="s">
        <v>5602</v>
      </c>
      <c r="K2470" s="132" t="s">
        <v>5608</v>
      </c>
      <c r="L2470" s="132" t="s">
        <v>5609</v>
      </c>
      <c r="M2470" s="132" t="s">
        <v>6468</v>
      </c>
      <c r="N2470" s="132" t="s">
        <v>1105</v>
      </c>
      <c r="O2470" s="132" t="s">
        <v>6469</v>
      </c>
      <c r="P2470" s="132" t="s">
        <v>6467</v>
      </c>
      <c r="Q2470" s="132" t="s">
        <v>1108</v>
      </c>
    </row>
    <row r="2471" spans="1:17" x14ac:dyDescent="0.2">
      <c r="A2471" t="s">
        <v>293</v>
      </c>
      <c r="B2471" s="141">
        <f t="shared" si="39"/>
        <v>53.65</v>
      </c>
      <c r="C2471" s="280">
        <v>45910</v>
      </c>
      <c r="D2471" s="279">
        <v>45912</v>
      </c>
      <c r="E2471" s="279">
        <v>45912</v>
      </c>
      <c r="F2471" s="132"/>
      <c r="G2471" s="132" t="s">
        <v>1108</v>
      </c>
      <c r="H2471" s="132" t="s">
        <v>373</v>
      </c>
      <c r="I2471" s="132" t="s">
        <v>1100</v>
      </c>
      <c r="J2471" s="132" t="s">
        <v>5602</v>
      </c>
      <c r="K2471" s="132" t="s">
        <v>5608</v>
      </c>
      <c r="L2471" s="132" t="s">
        <v>5609</v>
      </c>
      <c r="M2471" s="132" t="s">
        <v>6470</v>
      </c>
      <c r="N2471" s="132" t="s">
        <v>1117</v>
      </c>
      <c r="O2471" s="132" t="s">
        <v>6471</v>
      </c>
      <c r="P2471" s="132" t="s">
        <v>6467</v>
      </c>
      <c r="Q2471" s="132" t="s">
        <v>1108</v>
      </c>
    </row>
    <row r="2472" spans="1:17" x14ac:dyDescent="0.2">
      <c r="A2472" t="s">
        <v>293</v>
      </c>
      <c r="B2472" s="141">
        <f t="shared" si="39"/>
        <v>-55</v>
      </c>
      <c r="C2472" s="280">
        <v>45904</v>
      </c>
      <c r="D2472" s="279">
        <v>45912</v>
      </c>
      <c r="E2472" s="279">
        <v>45915</v>
      </c>
      <c r="F2472" s="132"/>
      <c r="G2472" s="132" t="s">
        <v>1108</v>
      </c>
      <c r="H2472" s="132" t="s">
        <v>5588</v>
      </c>
      <c r="I2472" s="132" t="s">
        <v>1100</v>
      </c>
      <c r="J2472" s="132" t="s">
        <v>5589</v>
      </c>
      <c r="K2472" s="132" t="s">
        <v>5590</v>
      </c>
      <c r="L2472" s="132" t="s">
        <v>5591</v>
      </c>
      <c r="M2472" s="132" t="s">
        <v>5605</v>
      </c>
      <c r="N2472" s="132" t="s">
        <v>1112</v>
      </c>
      <c r="O2472" s="132" t="s">
        <v>6472</v>
      </c>
      <c r="P2472" s="132" t="s">
        <v>6473</v>
      </c>
      <c r="Q2472" s="132" t="s">
        <v>1108</v>
      </c>
    </row>
    <row r="2473" spans="1:17" x14ac:dyDescent="0.2">
      <c r="A2473" t="s">
        <v>293</v>
      </c>
      <c r="B2473" s="141">
        <f t="shared" si="39"/>
        <v>-55</v>
      </c>
      <c r="C2473" s="280">
        <v>45905</v>
      </c>
      <c r="D2473" s="279">
        <v>45912</v>
      </c>
      <c r="E2473" s="279">
        <v>45915</v>
      </c>
      <c r="F2473" s="132"/>
      <c r="G2473" s="132" t="s">
        <v>6084</v>
      </c>
      <c r="H2473" s="132" t="s">
        <v>5588</v>
      </c>
      <c r="I2473" s="132" t="s">
        <v>1100</v>
      </c>
      <c r="J2473" s="132" t="s">
        <v>5589</v>
      </c>
      <c r="K2473" s="132" t="s">
        <v>5590</v>
      </c>
      <c r="L2473" s="132" t="s">
        <v>5591</v>
      </c>
      <c r="M2473" s="132" t="s">
        <v>6085</v>
      </c>
      <c r="N2473" s="132" t="s">
        <v>1105</v>
      </c>
      <c r="O2473" s="132" t="s">
        <v>6474</v>
      </c>
      <c r="P2473" s="132" t="s">
        <v>6473</v>
      </c>
      <c r="Q2473" s="132" t="s">
        <v>1108</v>
      </c>
    </row>
    <row r="2474" spans="1:17" x14ac:dyDescent="0.2">
      <c r="A2474" t="s">
        <v>147</v>
      </c>
      <c r="B2474" s="141">
        <f t="shared" si="39"/>
        <v>2.64</v>
      </c>
      <c r="C2474" s="280">
        <v>45911</v>
      </c>
      <c r="D2474" s="279">
        <v>45915</v>
      </c>
      <c r="E2474" s="279">
        <v>45915</v>
      </c>
      <c r="F2474" s="132"/>
      <c r="G2474" s="132" t="s">
        <v>1108</v>
      </c>
      <c r="H2474" s="132" t="s">
        <v>373</v>
      </c>
      <c r="I2474" s="132" t="s">
        <v>1100</v>
      </c>
      <c r="J2474" s="132" t="s">
        <v>3022</v>
      </c>
      <c r="K2474" s="132" t="s">
        <v>3023</v>
      </c>
      <c r="L2474" s="132" t="s">
        <v>3024</v>
      </c>
      <c r="M2474" s="132" t="s">
        <v>6475</v>
      </c>
      <c r="N2474" s="132" t="s">
        <v>1117</v>
      </c>
      <c r="O2474" s="132" t="s">
        <v>6476</v>
      </c>
      <c r="P2474" s="132" t="s">
        <v>6473</v>
      </c>
      <c r="Q2474" s="132" t="s">
        <v>1108</v>
      </c>
    </row>
    <row r="2475" spans="1:17" x14ac:dyDescent="0.2">
      <c r="A2475" t="s">
        <v>148</v>
      </c>
      <c r="B2475" s="141">
        <f t="shared" si="39"/>
        <v>4.6000000000000005</v>
      </c>
      <c r="C2475" s="280">
        <v>45911</v>
      </c>
      <c r="D2475" s="279">
        <v>45915</v>
      </c>
      <c r="E2475" s="279">
        <v>45915</v>
      </c>
      <c r="F2475" s="132"/>
      <c r="G2475" s="132" t="s">
        <v>1108</v>
      </c>
      <c r="H2475" s="132" t="s">
        <v>373</v>
      </c>
      <c r="I2475" s="132" t="s">
        <v>1100</v>
      </c>
      <c r="J2475" s="132" t="s">
        <v>2671</v>
      </c>
      <c r="K2475" s="132" t="s">
        <v>2672</v>
      </c>
      <c r="L2475" s="132" t="s">
        <v>2673</v>
      </c>
      <c r="M2475" s="132" t="s">
        <v>6477</v>
      </c>
      <c r="N2475" s="132" t="s">
        <v>1117</v>
      </c>
      <c r="O2475" s="132" t="s">
        <v>6478</v>
      </c>
      <c r="P2475" s="132" t="s">
        <v>6473</v>
      </c>
      <c r="Q2475" s="132" t="s">
        <v>1108</v>
      </c>
    </row>
    <row r="2476" spans="1:17" x14ac:dyDescent="0.2">
      <c r="A2476" t="s">
        <v>147</v>
      </c>
      <c r="B2476" s="141">
        <f t="shared" si="39"/>
        <v>2.64</v>
      </c>
      <c r="C2476" s="280">
        <v>45911</v>
      </c>
      <c r="D2476" s="279">
        <v>45915</v>
      </c>
      <c r="E2476" s="279">
        <v>45915</v>
      </c>
      <c r="F2476" s="132"/>
      <c r="G2476" s="132" t="s">
        <v>1108</v>
      </c>
      <c r="H2476" s="132" t="s">
        <v>373</v>
      </c>
      <c r="I2476" s="132" t="s">
        <v>1100</v>
      </c>
      <c r="J2476" s="132" t="s">
        <v>3022</v>
      </c>
      <c r="K2476" s="132" t="s">
        <v>3023</v>
      </c>
      <c r="L2476" s="132" t="s">
        <v>3024</v>
      </c>
      <c r="M2476" s="132" t="s">
        <v>6479</v>
      </c>
      <c r="N2476" s="132" t="s">
        <v>1117</v>
      </c>
      <c r="O2476" s="132" t="s">
        <v>6480</v>
      </c>
      <c r="P2476" s="132" t="s">
        <v>6473</v>
      </c>
      <c r="Q2476" s="132" t="s">
        <v>1108</v>
      </c>
    </row>
    <row r="2477" spans="1:17" x14ac:dyDescent="0.2">
      <c r="A2477" t="s">
        <v>148</v>
      </c>
      <c r="B2477" s="141">
        <f t="shared" si="39"/>
        <v>4.6000000000000005</v>
      </c>
      <c r="C2477" s="280">
        <v>45911</v>
      </c>
      <c r="D2477" s="279">
        <v>45915</v>
      </c>
      <c r="E2477" s="279">
        <v>45915</v>
      </c>
      <c r="F2477" s="132"/>
      <c r="G2477" s="132" t="s">
        <v>4820</v>
      </c>
      <c r="H2477" s="132" t="s">
        <v>373</v>
      </c>
      <c r="I2477" s="132" t="s">
        <v>1100</v>
      </c>
      <c r="J2477" s="132" t="s">
        <v>2671</v>
      </c>
      <c r="K2477" s="132" t="s">
        <v>2672</v>
      </c>
      <c r="L2477" s="132" t="s">
        <v>2673</v>
      </c>
      <c r="M2477" s="132" t="s">
        <v>6481</v>
      </c>
      <c r="N2477" s="132" t="s">
        <v>1105</v>
      </c>
      <c r="O2477" s="132" t="s">
        <v>6482</v>
      </c>
      <c r="P2477" s="132" t="s">
        <v>6473</v>
      </c>
      <c r="Q2477" s="132" t="s">
        <v>1108</v>
      </c>
    </row>
    <row r="2478" spans="1:17" x14ac:dyDescent="0.2">
      <c r="A2478" t="s">
        <v>147</v>
      </c>
      <c r="B2478" s="141">
        <f t="shared" ref="B2478:B2541" si="40">_xlfn.NUMBERVALUE(L2478)*0.01</f>
        <v>2.62</v>
      </c>
      <c r="C2478" s="280">
        <v>45911</v>
      </c>
      <c r="D2478" s="279">
        <v>45915</v>
      </c>
      <c r="E2478" s="279">
        <v>45915</v>
      </c>
      <c r="F2478" s="132"/>
      <c r="G2478" s="132" t="s">
        <v>1108</v>
      </c>
      <c r="H2478" s="132" t="s">
        <v>373</v>
      </c>
      <c r="I2478" s="132" t="s">
        <v>1100</v>
      </c>
      <c r="J2478" s="132" t="s">
        <v>3022</v>
      </c>
      <c r="K2478" s="132" t="s">
        <v>1742</v>
      </c>
      <c r="L2478" s="132" t="s">
        <v>3029</v>
      </c>
      <c r="M2478" s="132" t="s">
        <v>6483</v>
      </c>
      <c r="N2478" s="132" t="s">
        <v>1112</v>
      </c>
      <c r="O2478" s="132" t="s">
        <v>6484</v>
      </c>
      <c r="P2478" s="132" t="s">
        <v>6473</v>
      </c>
      <c r="Q2478" s="132" t="s">
        <v>1108</v>
      </c>
    </row>
    <row r="2479" spans="1:17" x14ac:dyDescent="0.2">
      <c r="A2479" t="s">
        <v>147</v>
      </c>
      <c r="B2479" s="141">
        <f t="shared" si="40"/>
        <v>2.64</v>
      </c>
      <c r="C2479" s="280">
        <v>45911</v>
      </c>
      <c r="D2479" s="279">
        <v>45915</v>
      </c>
      <c r="E2479" s="279">
        <v>45915</v>
      </c>
      <c r="F2479" s="132"/>
      <c r="G2479" s="132" t="s">
        <v>5189</v>
      </c>
      <c r="H2479" s="132" t="s">
        <v>373</v>
      </c>
      <c r="I2479" s="132" t="s">
        <v>1100</v>
      </c>
      <c r="J2479" s="132" t="s">
        <v>3022</v>
      </c>
      <c r="K2479" s="132" t="s">
        <v>3023</v>
      </c>
      <c r="L2479" s="132" t="s">
        <v>3024</v>
      </c>
      <c r="M2479" s="132" t="s">
        <v>6485</v>
      </c>
      <c r="N2479" s="132" t="s">
        <v>1105</v>
      </c>
      <c r="O2479" s="132" t="s">
        <v>6486</v>
      </c>
      <c r="P2479" s="132" t="s">
        <v>6473</v>
      </c>
      <c r="Q2479" s="132" t="s">
        <v>1108</v>
      </c>
    </row>
    <row r="2480" spans="1:17" x14ac:dyDescent="0.2">
      <c r="A2480" t="s">
        <v>148</v>
      </c>
      <c r="B2480" s="141">
        <f t="shared" si="40"/>
        <v>4.6000000000000005</v>
      </c>
      <c r="C2480" s="280">
        <v>45911</v>
      </c>
      <c r="D2480" s="279">
        <v>45915</v>
      </c>
      <c r="E2480" s="279">
        <v>45915</v>
      </c>
      <c r="F2480" s="132"/>
      <c r="G2480" s="132" t="s">
        <v>1108</v>
      </c>
      <c r="H2480" s="132" t="s">
        <v>373</v>
      </c>
      <c r="I2480" s="132" t="s">
        <v>1100</v>
      </c>
      <c r="J2480" s="132" t="s">
        <v>2671</v>
      </c>
      <c r="K2480" s="132" t="s">
        <v>2672</v>
      </c>
      <c r="L2480" s="132" t="s">
        <v>2673</v>
      </c>
      <c r="M2480" s="132" t="s">
        <v>6487</v>
      </c>
      <c r="N2480" s="132" t="s">
        <v>1117</v>
      </c>
      <c r="O2480" s="132" t="s">
        <v>6488</v>
      </c>
      <c r="P2480" s="132" t="s">
        <v>6473</v>
      </c>
      <c r="Q2480" s="132" t="s">
        <v>1108</v>
      </c>
    </row>
    <row r="2481" spans="1:17" x14ac:dyDescent="0.2">
      <c r="A2481" t="s">
        <v>147</v>
      </c>
      <c r="B2481" s="141">
        <f t="shared" si="40"/>
        <v>2.62</v>
      </c>
      <c r="C2481" s="280">
        <v>45911</v>
      </c>
      <c r="D2481" s="279">
        <v>45915</v>
      </c>
      <c r="E2481" s="279">
        <v>45915</v>
      </c>
      <c r="F2481" s="132"/>
      <c r="G2481" s="132" t="s">
        <v>1108</v>
      </c>
      <c r="H2481" s="132" t="s">
        <v>373</v>
      </c>
      <c r="I2481" s="132" t="s">
        <v>1100</v>
      </c>
      <c r="J2481" s="132" t="s">
        <v>3022</v>
      </c>
      <c r="K2481" s="132" t="s">
        <v>1742</v>
      </c>
      <c r="L2481" s="132" t="s">
        <v>3029</v>
      </c>
      <c r="M2481" s="132" t="s">
        <v>6489</v>
      </c>
      <c r="N2481" s="132" t="s">
        <v>1112</v>
      </c>
      <c r="O2481" s="132" t="s">
        <v>6490</v>
      </c>
      <c r="P2481" s="132" t="s">
        <v>6473</v>
      </c>
      <c r="Q2481" s="132" t="s">
        <v>1108</v>
      </c>
    </row>
    <row r="2482" spans="1:17" x14ac:dyDescent="0.2">
      <c r="A2482" t="s">
        <v>147</v>
      </c>
      <c r="B2482" s="141">
        <f t="shared" si="40"/>
        <v>2.64</v>
      </c>
      <c r="C2482" s="280">
        <v>45911</v>
      </c>
      <c r="D2482" s="279">
        <v>45915</v>
      </c>
      <c r="E2482" s="279">
        <v>45915</v>
      </c>
      <c r="F2482" s="132"/>
      <c r="G2482" s="132" t="s">
        <v>1108</v>
      </c>
      <c r="H2482" s="132" t="s">
        <v>373</v>
      </c>
      <c r="I2482" s="132" t="s">
        <v>1100</v>
      </c>
      <c r="J2482" s="132" t="s">
        <v>3022</v>
      </c>
      <c r="K2482" s="132" t="s">
        <v>3023</v>
      </c>
      <c r="L2482" s="132" t="s">
        <v>3024</v>
      </c>
      <c r="M2482" s="132" t="s">
        <v>6491</v>
      </c>
      <c r="N2482" s="132" t="s">
        <v>1117</v>
      </c>
      <c r="O2482" s="132" t="s">
        <v>6492</v>
      </c>
      <c r="P2482" s="132" t="s">
        <v>6473</v>
      </c>
      <c r="Q2482" s="132" t="s">
        <v>1108</v>
      </c>
    </row>
    <row r="2483" spans="1:17" x14ac:dyDescent="0.2">
      <c r="A2483" t="s">
        <v>148</v>
      </c>
      <c r="B2483" s="141">
        <f t="shared" si="40"/>
        <v>4.6000000000000005</v>
      </c>
      <c r="C2483" s="280">
        <v>45911</v>
      </c>
      <c r="D2483" s="279">
        <v>45915</v>
      </c>
      <c r="E2483" s="279">
        <v>45915</v>
      </c>
      <c r="F2483" s="132"/>
      <c r="G2483" s="132" t="s">
        <v>1108</v>
      </c>
      <c r="H2483" s="132" t="s">
        <v>373</v>
      </c>
      <c r="I2483" s="132" t="s">
        <v>1100</v>
      </c>
      <c r="J2483" s="132" t="s">
        <v>2671</v>
      </c>
      <c r="K2483" s="132" t="s">
        <v>2672</v>
      </c>
      <c r="L2483" s="132" t="s">
        <v>2673</v>
      </c>
      <c r="M2483" s="132" t="s">
        <v>6493</v>
      </c>
      <c r="N2483" s="132" t="s">
        <v>1117</v>
      </c>
      <c r="O2483" s="132" t="s">
        <v>6494</v>
      </c>
      <c r="P2483" s="132" t="s">
        <v>6473</v>
      </c>
      <c r="Q2483" s="132" t="s">
        <v>1108</v>
      </c>
    </row>
    <row r="2484" spans="1:17" x14ac:dyDescent="0.2">
      <c r="A2484" t="s">
        <v>147</v>
      </c>
      <c r="B2484" s="141">
        <f t="shared" si="40"/>
        <v>2.64</v>
      </c>
      <c r="C2484" s="280">
        <v>45911</v>
      </c>
      <c r="D2484" s="279">
        <v>45915</v>
      </c>
      <c r="E2484" s="279">
        <v>45915</v>
      </c>
      <c r="F2484" s="132"/>
      <c r="G2484" s="132" t="s">
        <v>1108</v>
      </c>
      <c r="H2484" s="132" t="s">
        <v>373</v>
      </c>
      <c r="I2484" s="132" t="s">
        <v>1100</v>
      </c>
      <c r="J2484" s="132" t="s">
        <v>3022</v>
      </c>
      <c r="K2484" s="132" t="s">
        <v>3023</v>
      </c>
      <c r="L2484" s="132" t="s">
        <v>3024</v>
      </c>
      <c r="M2484" s="132" t="s">
        <v>6495</v>
      </c>
      <c r="N2484" s="132" t="s">
        <v>1117</v>
      </c>
      <c r="O2484" s="132" t="s">
        <v>6496</v>
      </c>
      <c r="P2484" s="132" t="s">
        <v>6473</v>
      </c>
      <c r="Q2484" s="132" t="s">
        <v>1108</v>
      </c>
    </row>
    <row r="2485" spans="1:17" x14ac:dyDescent="0.2">
      <c r="A2485" t="s">
        <v>147</v>
      </c>
      <c r="B2485" s="141">
        <f t="shared" si="40"/>
        <v>2.64</v>
      </c>
      <c r="C2485" s="280">
        <v>45911</v>
      </c>
      <c r="D2485" s="279">
        <v>45915</v>
      </c>
      <c r="E2485" s="279">
        <v>45915</v>
      </c>
      <c r="F2485" s="132"/>
      <c r="G2485" s="132" t="s">
        <v>1108</v>
      </c>
      <c r="H2485" s="132" t="s">
        <v>373</v>
      </c>
      <c r="I2485" s="132" t="s">
        <v>1100</v>
      </c>
      <c r="J2485" s="132" t="s">
        <v>3022</v>
      </c>
      <c r="K2485" s="132" t="s">
        <v>3023</v>
      </c>
      <c r="L2485" s="132" t="s">
        <v>3024</v>
      </c>
      <c r="M2485" s="132" t="s">
        <v>6497</v>
      </c>
      <c r="N2485" s="132" t="s">
        <v>1117</v>
      </c>
      <c r="O2485" s="132" t="s">
        <v>6498</v>
      </c>
      <c r="P2485" s="132" t="s">
        <v>6473</v>
      </c>
      <c r="Q2485" s="132" t="s">
        <v>1108</v>
      </c>
    </row>
    <row r="2486" spans="1:17" x14ac:dyDescent="0.2">
      <c r="A2486" t="s">
        <v>148</v>
      </c>
      <c r="B2486" s="141">
        <f t="shared" si="40"/>
        <v>4.6000000000000005</v>
      </c>
      <c r="C2486" s="280">
        <v>45911</v>
      </c>
      <c r="D2486" s="279">
        <v>45915</v>
      </c>
      <c r="E2486" s="279">
        <v>45915</v>
      </c>
      <c r="F2486" s="132"/>
      <c r="G2486" s="132" t="s">
        <v>1108</v>
      </c>
      <c r="H2486" s="132" t="s">
        <v>373</v>
      </c>
      <c r="I2486" s="132" t="s">
        <v>1100</v>
      </c>
      <c r="J2486" s="132" t="s">
        <v>2671</v>
      </c>
      <c r="K2486" s="132" t="s">
        <v>2672</v>
      </c>
      <c r="L2486" s="132" t="s">
        <v>2673</v>
      </c>
      <c r="M2486" s="132" t="s">
        <v>6499</v>
      </c>
      <c r="N2486" s="132" t="s">
        <v>1117</v>
      </c>
      <c r="O2486" s="132" t="s">
        <v>6500</v>
      </c>
      <c r="P2486" s="132" t="s">
        <v>6473</v>
      </c>
      <c r="Q2486" s="132" t="s">
        <v>1108</v>
      </c>
    </row>
    <row r="2487" spans="1:17" x14ac:dyDescent="0.2">
      <c r="A2487" t="s">
        <v>147</v>
      </c>
      <c r="B2487" s="141">
        <f t="shared" si="40"/>
        <v>2.64</v>
      </c>
      <c r="C2487" s="280">
        <v>45911</v>
      </c>
      <c r="D2487" s="279">
        <v>45915</v>
      </c>
      <c r="E2487" s="279">
        <v>45915</v>
      </c>
      <c r="F2487" s="132"/>
      <c r="G2487" s="132" t="s">
        <v>1108</v>
      </c>
      <c r="H2487" s="132" t="s">
        <v>373</v>
      </c>
      <c r="I2487" s="132" t="s">
        <v>1100</v>
      </c>
      <c r="J2487" s="132" t="s">
        <v>3022</v>
      </c>
      <c r="K2487" s="132" t="s">
        <v>3023</v>
      </c>
      <c r="L2487" s="132" t="s">
        <v>3024</v>
      </c>
      <c r="M2487" s="132" t="s">
        <v>6501</v>
      </c>
      <c r="N2487" s="132" t="s">
        <v>1117</v>
      </c>
      <c r="O2487" s="132" t="s">
        <v>6502</v>
      </c>
      <c r="P2487" s="132" t="s">
        <v>6473</v>
      </c>
      <c r="Q2487" s="132" t="s">
        <v>1108</v>
      </c>
    </row>
    <row r="2488" spans="1:17" x14ac:dyDescent="0.2">
      <c r="A2488" t="s">
        <v>147</v>
      </c>
      <c r="B2488" s="141">
        <f t="shared" si="40"/>
        <v>2.64</v>
      </c>
      <c r="C2488" s="280">
        <v>45911</v>
      </c>
      <c r="D2488" s="279">
        <v>45915</v>
      </c>
      <c r="E2488" s="279">
        <v>45915</v>
      </c>
      <c r="F2488" s="132"/>
      <c r="G2488" s="132" t="s">
        <v>1108</v>
      </c>
      <c r="H2488" s="132" t="s">
        <v>373</v>
      </c>
      <c r="I2488" s="132" t="s">
        <v>1100</v>
      </c>
      <c r="J2488" s="132" t="s">
        <v>3022</v>
      </c>
      <c r="K2488" s="132" t="s">
        <v>3023</v>
      </c>
      <c r="L2488" s="132" t="s">
        <v>3024</v>
      </c>
      <c r="M2488" s="132" t="s">
        <v>6503</v>
      </c>
      <c r="N2488" s="132" t="s">
        <v>1117</v>
      </c>
      <c r="O2488" s="132" t="s">
        <v>6504</v>
      </c>
      <c r="P2488" s="132" t="s">
        <v>6473</v>
      </c>
      <c r="Q2488" s="132" t="s">
        <v>1108</v>
      </c>
    </row>
    <row r="2489" spans="1:17" x14ac:dyDescent="0.2">
      <c r="A2489" t="s">
        <v>148</v>
      </c>
      <c r="B2489" s="141">
        <f t="shared" si="40"/>
        <v>4.6000000000000005</v>
      </c>
      <c r="C2489" s="280">
        <v>45911</v>
      </c>
      <c r="D2489" s="279">
        <v>45915</v>
      </c>
      <c r="E2489" s="279">
        <v>45915</v>
      </c>
      <c r="F2489" s="132"/>
      <c r="G2489" s="132" t="s">
        <v>1108</v>
      </c>
      <c r="H2489" s="132" t="s">
        <v>373</v>
      </c>
      <c r="I2489" s="132" t="s">
        <v>1100</v>
      </c>
      <c r="J2489" s="132" t="s">
        <v>2671</v>
      </c>
      <c r="K2489" s="132" t="s">
        <v>2672</v>
      </c>
      <c r="L2489" s="132" t="s">
        <v>2673</v>
      </c>
      <c r="M2489" s="132" t="s">
        <v>6505</v>
      </c>
      <c r="N2489" s="132" t="s">
        <v>1117</v>
      </c>
      <c r="O2489" s="132" t="s">
        <v>6506</v>
      </c>
      <c r="P2489" s="132" t="s">
        <v>6473</v>
      </c>
      <c r="Q2489" s="132" t="s">
        <v>1108</v>
      </c>
    </row>
    <row r="2490" spans="1:17" x14ac:dyDescent="0.2">
      <c r="A2490" t="s">
        <v>148</v>
      </c>
      <c r="B2490" s="141">
        <f t="shared" si="40"/>
        <v>4.6000000000000005</v>
      </c>
      <c r="C2490" s="280">
        <v>45911</v>
      </c>
      <c r="D2490" s="279">
        <v>45915</v>
      </c>
      <c r="E2490" s="279">
        <v>45915</v>
      </c>
      <c r="F2490" s="132"/>
      <c r="G2490" s="132" t="s">
        <v>6507</v>
      </c>
      <c r="H2490" s="132" t="s">
        <v>373</v>
      </c>
      <c r="I2490" s="132" t="s">
        <v>1100</v>
      </c>
      <c r="J2490" s="132" t="s">
        <v>2671</v>
      </c>
      <c r="K2490" s="132" t="s">
        <v>2672</v>
      </c>
      <c r="L2490" s="132" t="s">
        <v>2673</v>
      </c>
      <c r="M2490" s="132" t="s">
        <v>6508</v>
      </c>
      <c r="N2490" s="132" t="s">
        <v>1105</v>
      </c>
      <c r="O2490" s="132" t="s">
        <v>6509</v>
      </c>
      <c r="P2490" s="132" t="s">
        <v>6473</v>
      </c>
      <c r="Q2490" s="132" t="s">
        <v>1108</v>
      </c>
    </row>
    <row r="2491" spans="1:17" x14ac:dyDescent="0.2">
      <c r="A2491" t="s">
        <v>147</v>
      </c>
      <c r="B2491" s="141">
        <f t="shared" si="40"/>
        <v>2.64</v>
      </c>
      <c r="C2491" s="280">
        <v>45911</v>
      </c>
      <c r="D2491" s="279">
        <v>45915</v>
      </c>
      <c r="E2491" s="279">
        <v>45915</v>
      </c>
      <c r="F2491" s="132"/>
      <c r="G2491" s="132" t="s">
        <v>1108</v>
      </c>
      <c r="H2491" s="132" t="s">
        <v>373</v>
      </c>
      <c r="I2491" s="132" t="s">
        <v>1100</v>
      </c>
      <c r="J2491" s="132" t="s">
        <v>3022</v>
      </c>
      <c r="K2491" s="132" t="s">
        <v>3023</v>
      </c>
      <c r="L2491" s="132" t="s">
        <v>3024</v>
      </c>
      <c r="M2491" s="132" t="s">
        <v>6510</v>
      </c>
      <c r="N2491" s="132" t="s">
        <v>1117</v>
      </c>
      <c r="O2491" s="132" t="s">
        <v>6511</v>
      </c>
      <c r="P2491" s="132" t="s">
        <v>6473</v>
      </c>
      <c r="Q2491" s="132" t="s">
        <v>1108</v>
      </c>
    </row>
    <row r="2492" spans="1:17" x14ac:dyDescent="0.2">
      <c r="A2492" t="s">
        <v>147</v>
      </c>
      <c r="B2492" s="141">
        <f t="shared" si="40"/>
        <v>2.64</v>
      </c>
      <c r="C2492" s="280">
        <v>45911</v>
      </c>
      <c r="D2492" s="279">
        <v>45915</v>
      </c>
      <c r="E2492" s="279">
        <v>45915</v>
      </c>
      <c r="F2492" s="132"/>
      <c r="G2492" s="132" t="s">
        <v>1108</v>
      </c>
      <c r="H2492" s="132" t="s">
        <v>373</v>
      </c>
      <c r="I2492" s="132" t="s">
        <v>1100</v>
      </c>
      <c r="J2492" s="132" t="s">
        <v>3022</v>
      </c>
      <c r="K2492" s="132" t="s">
        <v>3023</v>
      </c>
      <c r="L2492" s="132" t="s">
        <v>3024</v>
      </c>
      <c r="M2492" s="132" t="s">
        <v>6512</v>
      </c>
      <c r="N2492" s="132" t="s">
        <v>1117</v>
      </c>
      <c r="O2492" s="132" t="s">
        <v>6513</v>
      </c>
      <c r="P2492" s="132" t="s">
        <v>6473</v>
      </c>
      <c r="Q2492" s="132" t="s">
        <v>1108</v>
      </c>
    </row>
    <row r="2493" spans="1:17" x14ac:dyDescent="0.2">
      <c r="A2493" t="s">
        <v>147</v>
      </c>
      <c r="B2493" s="141">
        <f t="shared" si="40"/>
        <v>2.64</v>
      </c>
      <c r="C2493" s="280">
        <v>45911</v>
      </c>
      <c r="D2493" s="279">
        <v>45915</v>
      </c>
      <c r="E2493" s="279">
        <v>45915</v>
      </c>
      <c r="F2493" s="132"/>
      <c r="G2493" s="132" t="s">
        <v>1108</v>
      </c>
      <c r="H2493" s="132" t="s">
        <v>373</v>
      </c>
      <c r="I2493" s="132" t="s">
        <v>1100</v>
      </c>
      <c r="J2493" s="132" t="s">
        <v>3022</v>
      </c>
      <c r="K2493" s="132" t="s">
        <v>3023</v>
      </c>
      <c r="L2493" s="132" t="s">
        <v>3024</v>
      </c>
      <c r="M2493" s="132" t="s">
        <v>6514</v>
      </c>
      <c r="N2493" s="132" t="s">
        <v>1117</v>
      </c>
      <c r="O2493" s="132" t="s">
        <v>6515</v>
      </c>
      <c r="P2493" s="132" t="s">
        <v>6473</v>
      </c>
      <c r="Q2493" s="132" t="s">
        <v>1108</v>
      </c>
    </row>
    <row r="2494" spans="1:17" x14ac:dyDescent="0.2">
      <c r="A2494" t="s">
        <v>147</v>
      </c>
      <c r="B2494" s="141">
        <f t="shared" si="40"/>
        <v>2.62</v>
      </c>
      <c r="C2494" s="280">
        <v>45911</v>
      </c>
      <c r="D2494" s="279">
        <v>45915</v>
      </c>
      <c r="E2494" s="279">
        <v>45915</v>
      </c>
      <c r="F2494" s="132"/>
      <c r="G2494" s="132" t="s">
        <v>1108</v>
      </c>
      <c r="H2494" s="132" t="s">
        <v>373</v>
      </c>
      <c r="I2494" s="132" t="s">
        <v>1100</v>
      </c>
      <c r="J2494" s="132" t="s">
        <v>3022</v>
      </c>
      <c r="K2494" s="132" t="s">
        <v>1742</v>
      </c>
      <c r="L2494" s="132" t="s">
        <v>3029</v>
      </c>
      <c r="M2494" s="132" t="s">
        <v>6516</v>
      </c>
      <c r="N2494" s="132" t="s">
        <v>1112</v>
      </c>
      <c r="O2494" s="132" t="s">
        <v>6517</v>
      </c>
      <c r="P2494" s="132" t="s">
        <v>6473</v>
      </c>
      <c r="Q2494" s="132" t="s">
        <v>1108</v>
      </c>
    </row>
    <row r="2495" spans="1:17" x14ac:dyDescent="0.2">
      <c r="A2495" t="s">
        <v>147</v>
      </c>
      <c r="B2495" s="141">
        <f t="shared" si="40"/>
        <v>2.62</v>
      </c>
      <c r="C2495" s="280">
        <v>45911</v>
      </c>
      <c r="D2495" s="279">
        <v>45915</v>
      </c>
      <c r="E2495" s="279">
        <v>45915</v>
      </c>
      <c r="F2495" s="132"/>
      <c r="G2495" s="132" t="s">
        <v>1108</v>
      </c>
      <c r="H2495" s="132" t="s">
        <v>373</v>
      </c>
      <c r="I2495" s="132" t="s">
        <v>1100</v>
      </c>
      <c r="J2495" s="132" t="s">
        <v>3022</v>
      </c>
      <c r="K2495" s="132" t="s">
        <v>1742</v>
      </c>
      <c r="L2495" s="132" t="s">
        <v>3029</v>
      </c>
      <c r="M2495" s="132" t="s">
        <v>6518</v>
      </c>
      <c r="N2495" s="132" t="s">
        <v>1112</v>
      </c>
      <c r="O2495" s="132" t="s">
        <v>6519</v>
      </c>
      <c r="P2495" s="132" t="s">
        <v>6473</v>
      </c>
      <c r="Q2495" s="132" t="s">
        <v>1108</v>
      </c>
    </row>
    <row r="2496" spans="1:17" x14ac:dyDescent="0.2">
      <c r="A2496" t="s">
        <v>147</v>
      </c>
      <c r="B2496" s="141">
        <f t="shared" si="40"/>
        <v>2.61</v>
      </c>
      <c r="C2496" s="280">
        <v>45911</v>
      </c>
      <c r="D2496" s="279">
        <v>45915</v>
      </c>
      <c r="E2496" s="279">
        <v>45915</v>
      </c>
      <c r="F2496" s="132"/>
      <c r="G2496" s="132" t="s">
        <v>1108</v>
      </c>
      <c r="H2496" s="132" t="s">
        <v>373</v>
      </c>
      <c r="I2496" s="132" t="s">
        <v>1100</v>
      </c>
      <c r="J2496" s="132" t="s">
        <v>3022</v>
      </c>
      <c r="K2496" s="132" t="s">
        <v>6520</v>
      </c>
      <c r="L2496" s="132" t="s">
        <v>6521</v>
      </c>
      <c r="M2496" s="132" t="s">
        <v>6522</v>
      </c>
      <c r="N2496" s="132" t="s">
        <v>1117</v>
      </c>
      <c r="O2496" s="132" t="s">
        <v>6523</v>
      </c>
      <c r="P2496" s="132" t="s">
        <v>6473</v>
      </c>
      <c r="Q2496" s="132" t="s">
        <v>1108</v>
      </c>
    </row>
    <row r="2497" spans="1:17" x14ac:dyDescent="0.2">
      <c r="A2497" t="s">
        <v>147</v>
      </c>
      <c r="B2497" s="141">
        <f t="shared" si="40"/>
        <v>2.64</v>
      </c>
      <c r="C2497" s="280">
        <v>45911</v>
      </c>
      <c r="D2497" s="279">
        <v>45915</v>
      </c>
      <c r="E2497" s="279">
        <v>45915</v>
      </c>
      <c r="F2497" s="132"/>
      <c r="G2497" s="132" t="s">
        <v>1108</v>
      </c>
      <c r="H2497" s="132" t="s">
        <v>373</v>
      </c>
      <c r="I2497" s="132" t="s">
        <v>1100</v>
      </c>
      <c r="J2497" s="132" t="s">
        <v>3022</v>
      </c>
      <c r="K2497" s="132" t="s">
        <v>3023</v>
      </c>
      <c r="L2497" s="132" t="s">
        <v>3024</v>
      </c>
      <c r="M2497" s="132" t="s">
        <v>6524</v>
      </c>
      <c r="N2497" s="132" t="s">
        <v>1117</v>
      </c>
      <c r="O2497" s="132" t="s">
        <v>6525</v>
      </c>
      <c r="P2497" s="132" t="s">
        <v>6473</v>
      </c>
      <c r="Q2497" s="132" t="s">
        <v>1108</v>
      </c>
    </row>
    <row r="2498" spans="1:17" x14ac:dyDescent="0.2">
      <c r="A2498" t="s">
        <v>147</v>
      </c>
      <c r="B2498" s="141">
        <f t="shared" si="40"/>
        <v>2.62</v>
      </c>
      <c r="C2498" s="280">
        <v>45911</v>
      </c>
      <c r="D2498" s="279">
        <v>45915</v>
      </c>
      <c r="E2498" s="279">
        <v>45915</v>
      </c>
      <c r="F2498" s="132"/>
      <c r="G2498" s="132" t="s">
        <v>1108</v>
      </c>
      <c r="H2498" s="132" t="s">
        <v>373</v>
      </c>
      <c r="I2498" s="132" t="s">
        <v>1100</v>
      </c>
      <c r="J2498" s="132" t="s">
        <v>3022</v>
      </c>
      <c r="K2498" s="132" t="s">
        <v>1742</v>
      </c>
      <c r="L2498" s="132" t="s">
        <v>3029</v>
      </c>
      <c r="M2498" s="132" t="s">
        <v>6526</v>
      </c>
      <c r="N2498" s="132" t="s">
        <v>1112</v>
      </c>
      <c r="O2498" s="132" t="s">
        <v>6527</v>
      </c>
      <c r="P2498" s="132" t="s">
        <v>6473</v>
      </c>
      <c r="Q2498" s="132" t="s">
        <v>1108</v>
      </c>
    </row>
    <row r="2499" spans="1:17" x14ac:dyDescent="0.2">
      <c r="A2499" t="s">
        <v>147</v>
      </c>
      <c r="B2499" s="141">
        <f t="shared" si="40"/>
        <v>2.62</v>
      </c>
      <c r="C2499" s="280">
        <v>45911</v>
      </c>
      <c r="D2499" s="279">
        <v>45915</v>
      </c>
      <c r="E2499" s="279">
        <v>45915</v>
      </c>
      <c r="F2499" s="132"/>
      <c r="G2499" s="132" t="s">
        <v>1108</v>
      </c>
      <c r="H2499" s="132" t="s">
        <v>373</v>
      </c>
      <c r="I2499" s="132" t="s">
        <v>1100</v>
      </c>
      <c r="J2499" s="132" t="s">
        <v>3022</v>
      </c>
      <c r="K2499" s="132" t="s">
        <v>1742</v>
      </c>
      <c r="L2499" s="132" t="s">
        <v>3029</v>
      </c>
      <c r="M2499" s="132" t="s">
        <v>6528</v>
      </c>
      <c r="N2499" s="132" t="s">
        <v>1112</v>
      </c>
      <c r="O2499" s="132" t="s">
        <v>6529</v>
      </c>
      <c r="P2499" s="132" t="s">
        <v>6473</v>
      </c>
      <c r="Q2499" s="132" t="s">
        <v>1108</v>
      </c>
    </row>
    <row r="2500" spans="1:17" x14ac:dyDescent="0.2">
      <c r="A2500" t="s">
        <v>147</v>
      </c>
      <c r="B2500" s="141">
        <f t="shared" si="40"/>
        <v>2.62</v>
      </c>
      <c r="C2500" s="280">
        <v>45911</v>
      </c>
      <c r="D2500" s="279">
        <v>45915</v>
      </c>
      <c r="E2500" s="279">
        <v>45915</v>
      </c>
      <c r="F2500" s="132"/>
      <c r="G2500" s="132" t="s">
        <v>1108</v>
      </c>
      <c r="H2500" s="132" t="s">
        <v>373</v>
      </c>
      <c r="I2500" s="132" t="s">
        <v>1100</v>
      </c>
      <c r="J2500" s="132" t="s">
        <v>3022</v>
      </c>
      <c r="K2500" s="132" t="s">
        <v>1742</v>
      </c>
      <c r="L2500" s="132" t="s">
        <v>3029</v>
      </c>
      <c r="M2500" s="281" t="s">
        <v>6530</v>
      </c>
      <c r="N2500" s="132" t="s">
        <v>1112</v>
      </c>
      <c r="O2500" s="132" t="s">
        <v>6531</v>
      </c>
      <c r="P2500" s="132" t="s">
        <v>6473</v>
      </c>
      <c r="Q2500" s="132" t="s">
        <v>1108</v>
      </c>
    </row>
    <row r="2501" spans="1:17" x14ac:dyDescent="0.2">
      <c r="A2501" t="s">
        <v>147</v>
      </c>
      <c r="B2501" s="141">
        <f t="shared" si="40"/>
        <v>2.62</v>
      </c>
      <c r="C2501" s="280">
        <v>45911</v>
      </c>
      <c r="D2501" s="279">
        <v>45915</v>
      </c>
      <c r="E2501" s="279">
        <v>45915</v>
      </c>
      <c r="F2501" s="132"/>
      <c r="G2501" s="132" t="s">
        <v>1108</v>
      </c>
      <c r="H2501" s="132" t="s">
        <v>373</v>
      </c>
      <c r="I2501" s="132" t="s">
        <v>1100</v>
      </c>
      <c r="J2501" s="132" t="s">
        <v>3022</v>
      </c>
      <c r="K2501" s="132" t="s">
        <v>1742</v>
      </c>
      <c r="L2501" s="132" t="s">
        <v>3029</v>
      </c>
      <c r="M2501" s="132" t="s">
        <v>6532</v>
      </c>
      <c r="N2501" s="132" t="s">
        <v>1112</v>
      </c>
      <c r="O2501" s="132" t="s">
        <v>6533</v>
      </c>
      <c r="P2501" s="132" t="s">
        <v>6473</v>
      </c>
      <c r="Q2501" s="132" t="s">
        <v>1108</v>
      </c>
    </row>
    <row r="2502" spans="1:17" x14ac:dyDescent="0.2">
      <c r="A2502" t="s">
        <v>147</v>
      </c>
      <c r="B2502" s="141">
        <f t="shared" si="40"/>
        <v>2.62</v>
      </c>
      <c r="C2502" s="280">
        <v>45911</v>
      </c>
      <c r="D2502" s="279">
        <v>45915</v>
      </c>
      <c r="E2502" s="279">
        <v>45915</v>
      </c>
      <c r="F2502" s="132"/>
      <c r="G2502" s="132" t="s">
        <v>1108</v>
      </c>
      <c r="H2502" s="132" t="s">
        <v>373</v>
      </c>
      <c r="I2502" s="132" t="s">
        <v>1100</v>
      </c>
      <c r="J2502" s="132" t="s">
        <v>3022</v>
      </c>
      <c r="K2502" s="132" t="s">
        <v>1742</v>
      </c>
      <c r="L2502" s="132" t="s">
        <v>3029</v>
      </c>
      <c r="M2502" s="132" t="s">
        <v>6534</v>
      </c>
      <c r="N2502" s="132" t="s">
        <v>1112</v>
      </c>
      <c r="O2502" s="132" t="s">
        <v>6535</v>
      </c>
      <c r="P2502" s="132" t="s">
        <v>6473</v>
      </c>
      <c r="Q2502" s="132" t="s">
        <v>1108</v>
      </c>
    </row>
    <row r="2503" spans="1:17" x14ac:dyDescent="0.2">
      <c r="A2503" t="s">
        <v>147</v>
      </c>
      <c r="B2503" s="141">
        <f t="shared" si="40"/>
        <v>2.62</v>
      </c>
      <c r="C2503" s="280">
        <v>45911</v>
      </c>
      <c r="D2503" s="279">
        <v>45915</v>
      </c>
      <c r="E2503" s="279">
        <v>45915</v>
      </c>
      <c r="F2503" s="132"/>
      <c r="G2503" s="132" t="s">
        <v>1108</v>
      </c>
      <c r="H2503" s="132" t="s">
        <v>373</v>
      </c>
      <c r="I2503" s="132" t="s">
        <v>1100</v>
      </c>
      <c r="J2503" s="132" t="s">
        <v>3022</v>
      </c>
      <c r="K2503" s="132" t="s">
        <v>1742</v>
      </c>
      <c r="L2503" s="132" t="s">
        <v>3029</v>
      </c>
      <c r="M2503" s="132" t="s">
        <v>6536</v>
      </c>
      <c r="N2503" s="132" t="s">
        <v>1112</v>
      </c>
      <c r="O2503" s="132" t="s">
        <v>6537</v>
      </c>
      <c r="P2503" s="132" t="s">
        <v>6473</v>
      </c>
      <c r="Q2503" s="132" t="s">
        <v>1108</v>
      </c>
    </row>
    <row r="2504" spans="1:17" x14ac:dyDescent="0.2">
      <c r="A2504" t="s">
        <v>147</v>
      </c>
      <c r="B2504" s="141">
        <f t="shared" si="40"/>
        <v>2.64</v>
      </c>
      <c r="C2504" s="280">
        <v>45911</v>
      </c>
      <c r="D2504" s="279">
        <v>45915</v>
      </c>
      <c r="E2504" s="279">
        <v>45915</v>
      </c>
      <c r="F2504" s="132"/>
      <c r="G2504" s="132" t="s">
        <v>1108</v>
      </c>
      <c r="H2504" s="132" t="s">
        <v>373</v>
      </c>
      <c r="I2504" s="132" t="s">
        <v>1100</v>
      </c>
      <c r="J2504" s="132" t="s">
        <v>3022</v>
      </c>
      <c r="K2504" s="132" t="s">
        <v>3023</v>
      </c>
      <c r="L2504" s="132" t="s">
        <v>3024</v>
      </c>
      <c r="M2504" s="132" t="s">
        <v>6538</v>
      </c>
      <c r="N2504" s="132" t="s">
        <v>1117</v>
      </c>
      <c r="O2504" s="132" t="s">
        <v>6539</v>
      </c>
      <c r="P2504" s="132" t="s">
        <v>6473</v>
      </c>
      <c r="Q2504" s="132" t="s">
        <v>1108</v>
      </c>
    </row>
    <row r="2505" spans="1:17" x14ac:dyDescent="0.2">
      <c r="A2505" t="s">
        <v>147</v>
      </c>
      <c r="B2505" s="141">
        <f t="shared" si="40"/>
        <v>2.64</v>
      </c>
      <c r="C2505" s="280">
        <v>45911</v>
      </c>
      <c r="D2505" s="279">
        <v>45915</v>
      </c>
      <c r="E2505" s="279">
        <v>45915</v>
      </c>
      <c r="F2505" s="132"/>
      <c r="G2505" s="132" t="s">
        <v>5295</v>
      </c>
      <c r="H2505" s="132" t="s">
        <v>373</v>
      </c>
      <c r="I2505" s="132" t="s">
        <v>1100</v>
      </c>
      <c r="J2505" s="132" t="s">
        <v>3022</v>
      </c>
      <c r="K2505" s="132" t="s">
        <v>3023</v>
      </c>
      <c r="L2505" s="132" t="s">
        <v>3024</v>
      </c>
      <c r="M2505" s="132" t="s">
        <v>6540</v>
      </c>
      <c r="N2505" s="132" t="s">
        <v>1105</v>
      </c>
      <c r="O2505" s="132" t="s">
        <v>6541</v>
      </c>
      <c r="P2505" s="132" t="s">
        <v>6473</v>
      </c>
      <c r="Q2505" s="132" t="s">
        <v>1108</v>
      </c>
    </row>
    <row r="2506" spans="1:17" x14ac:dyDescent="0.2">
      <c r="A2506" t="s">
        <v>147</v>
      </c>
      <c r="B2506" s="141">
        <f t="shared" si="40"/>
        <v>2.62</v>
      </c>
      <c r="C2506" s="280">
        <v>45911</v>
      </c>
      <c r="D2506" s="279">
        <v>45915</v>
      </c>
      <c r="E2506" s="279">
        <v>45915</v>
      </c>
      <c r="F2506" s="132"/>
      <c r="G2506" s="132" t="s">
        <v>1108</v>
      </c>
      <c r="H2506" s="132" t="s">
        <v>373</v>
      </c>
      <c r="I2506" s="132" t="s">
        <v>1100</v>
      </c>
      <c r="J2506" s="132" t="s">
        <v>3022</v>
      </c>
      <c r="K2506" s="132" t="s">
        <v>1742</v>
      </c>
      <c r="L2506" s="132" t="s">
        <v>3029</v>
      </c>
      <c r="M2506" s="132" t="s">
        <v>6542</v>
      </c>
      <c r="N2506" s="132" t="s">
        <v>1112</v>
      </c>
      <c r="O2506" s="132" t="s">
        <v>6543</v>
      </c>
      <c r="P2506" s="132" t="s">
        <v>6473</v>
      </c>
      <c r="Q2506" s="132" t="s">
        <v>1108</v>
      </c>
    </row>
    <row r="2507" spans="1:17" x14ac:dyDescent="0.2">
      <c r="A2507" t="s">
        <v>147</v>
      </c>
      <c r="B2507" s="141">
        <f t="shared" si="40"/>
        <v>2.62</v>
      </c>
      <c r="C2507" s="280">
        <v>45911</v>
      </c>
      <c r="D2507" s="279">
        <v>45915</v>
      </c>
      <c r="E2507" s="279">
        <v>45915</v>
      </c>
      <c r="F2507" s="132"/>
      <c r="G2507" s="132" t="s">
        <v>1108</v>
      </c>
      <c r="H2507" s="132" t="s">
        <v>373</v>
      </c>
      <c r="I2507" s="132" t="s">
        <v>1100</v>
      </c>
      <c r="J2507" s="132" t="s">
        <v>3022</v>
      </c>
      <c r="K2507" s="132" t="s">
        <v>1742</v>
      </c>
      <c r="L2507" s="132" t="s">
        <v>3029</v>
      </c>
      <c r="M2507" s="132" t="s">
        <v>6544</v>
      </c>
      <c r="N2507" s="132" t="s">
        <v>1112</v>
      </c>
      <c r="O2507" s="132" t="s">
        <v>6545</v>
      </c>
      <c r="P2507" s="132" t="s">
        <v>6473</v>
      </c>
      <c r="Q2507" s="132" t="s">
        <v>1108</v>
      </c>
    </row>
    <row r="2508" spans="1:17" x14ac:dyDescent="0.2">
      <c r="A2508" t="s">
        <v>147</v>
      </c>
      <c r="B2508" s="141">
        <f t="shared" si="40"/>
        <v>2.62</v>
      </c>
      <c r="C2508" s="280">
        <v>45911</v>
      </c>
      <c r="D2508" s="279">
        <v>45915</v>
      </c>
      <c r="E2508" s="279">
        <v>45915</v>
      </c>
      <c r="F2508" s="132"/>
      <c r="G2508" s="132" t="s">
        <v>1108</v>
      </c>
      <c r="H2508" s="132" t="s">
        <v>373</v>
      </c>
      <c r="I2508" s="132" t="s">
        <v>1100</v>
      </c>
      <c r="J2508" s="132" t="s">
        <v>3022</v>
      </c>
      <c r="K2508" s="132" t="s">
        <v>1742</v>
      </c>
      <c r="L2508" s="132" t="s">
        <v>3029</v>
      </c>
      <c r="M2508" s="132" t="s">
        <v>6546</v>
      </c>
      <c r="N2508" s="132" t="s">
        <v>1112</v>
      </c>
      <c r="O2508" s="132" t="s">
        <v>6547</v>
      </c>
      <c r="P2508" s="132" t="s">
        <v>6473</v>
      </c>
      <c r="Q2508" s="132" t="s">
        <v>1108</v>
      </c>
    </row>
    <row r="2509" spans="1:17" x14ac:dyDescent="0.2">
      <c r="A2509" t="s">
        <v>147</v>
      </c>
      <c r="B2509" s="141">
        <f t="shared" si="40"/>
        <v>2.62</v>
      </c>
      <c r="C2509" s="280">
        <v>45911</v>
      </c>
      <c r="D2509" s="279">
        <v>45915</v>
      </c>
      <c r="E2509" s="279">
        <v>45915</v>
      </c>
      <c r="F2509" s="132"/>
      <c r="G2509" s="132" t="s">
        <v>1108</v>
      </c>
      <c r="H2509" s="132" t="s">
        <v>373</v>
      </c>
      <c r="I2509" s="132" t="s">
        <v>1100</v>
      </c>
      <c r="J2509" s="132" t="s">
        <v>3022</v>
      </c>
      <c r="K2509" s="132" t="s">
        <v>1742</v>
      </c>
      <c r="L2509" s="132" t="s">
        <v>3029</v>
      </c>
      <c r="M2509" s="132" t="s">
        <v>6548</v>
      </c>
      <c r="N2509" s="132" t="s">
        <v>1112</v>
      </c>
      <c r="O2509" s="132" t="s">
        <v>6549</v>
      </c>
      <c r="P2509" s="132" t="s">
        <v>6473</v>
      </c>
      <c r="Q2509" s="132" t="s">
        <v>1108</v>
      </c>
    </row>
    <row r="2510" spans="1:17" x14ac:dyDescent="0.2">
      <c r="A2510" t="s">
        <v>147</v>
      </c>
      <c r="B2510" s="141">
        <f t="shared" si="40"/>
        <v>2.62</v>
      </c>
      <c r="C2510" s="280">
        <v>45911</v>
      </c>
      <c r="D2510" s="279">
        <v>45915</v>
      </c>
      <c r="E2510" s="279">
        <v>45915</v>
      </c>
      <c r="F2510" s="132"/>
      <c r="G2510" s="132" t="s">
        <v>1108</v>
      </c>
      <c r="H2510" s="132" t="s">
        <v>373</v>
      </c>
      <c r="I2510" s="132" t="s">
        <v>1100</v>
      </c>
      <c r="J2510" s="132" t="s">
        <v>3022</v>
      </c>
      <c r="K2510" s="132" t="s">
        <v>1742</v>
      </c>
      <c r="L2510" s="132" t="s">
        <v>3029</v>
      </c>
      <c r="M2510" s="132" t="s">
        <v>6550</v>
      </c>
      <c r="N2510" s="132" t="s">
        <v>1112</v>
      </c>
      <c r="O2510" s="132" t="s">
        <v>6551</v>
      </c>
      <c r="P2510" s="132" t="s">
        <v>6473</v>
      </c>
      <c r="Q2510" s="132" t="s">
        <v>1108</v>
      </c>
    </row>
    <row r="2511" spans="1:17" x14ac:dyDescent="0.2">
      <c r="A2511" t="s">
        <v>147</v>
      </c>
      <c r="B2511" s="141">
        <f t="shared" si="40"/>
        <v>2.61</v>
      </c>
      <c r="C2511" s="280">
        <v>45911</v>
      </c>
      <c r="D2511" s="279">
        <v>45915</v>
      </c>
      <c r="E2511" s="279">
        <v>45915</v>
      </c>
      <c r="F2511" s="132"/>
      <c r="G2511" s="132" t="s">
        <v>1108</v>
      </c>
      <c r="H2511" s="132" t="s">
        <v>373</v>
      </c>
      <c r="I2511" s="132" t="s">
        <v>1100</v>
      </c>
      <c r="J2511" s="132" t="s">
        <v>3022</v>
      </c>
      <c r="K2511" s="132" t="s">
        <v>6520</v>
      </c>
      <c r="L2511" s="132" t="s">
        <v>6521</v>
      </c>
      <c r="M2511" s="132" t="s">
        <v>6552</v>
      </c>
      <c r="N2511" s="132" t="s">
        <v>1117</v>
      </c>
      <c r="O2511" s="132" t="s">
        <v>6553</v>
      </c>
      <c r="P2511" s="132" t="s">
        <v>6473</v>
      </c>
      <c r="Q2511" s="132" t="s">
        <v>1108</v>
      </c>
    </row>
    <row r="2512" spans="1:17" x14ac:dyDescent="0.2">
      <c r="A2512" t="s">
        <v>147</v>
      </c>
      <c r="B2512" s="141">
        <f t="shared" si="40"/>
        <v>2.62</v>
      </c>
      <c r="C2512" s="280">
        <v>45911</v>
      </c>
      <c r="D2512" s="279">
        <v>45915</v>
      </c>
      <c r="E2512" s="279">
        <v>45915</v>
      </c>
      <c r="F2512" s="132"/>
      <c r="G2512" s="132" t="s">
        <v>1108</v>
      </c>
      <c r="H2512" s="132" t="s">
        <v>373</v>
      </c>
      <c r="I2512" s="132" t="s">
        <v>1100</v>
      </c>
      <c r="J2512" s="132" t="s">
        <v>3022</v>
      </c>
      <c r="K2512" s="132" t="s">
        <v>1742</v>
      </c>
      <c r="L2512" s="132" t="s">
        <v>3029</v>
      </c>
      <c r="M2512" s="132" t="s">
        <v>6554</v>
      </c>
      <c r="N2512" s="132" t="s">
        <v>1112</v>
      </c>
      <c r="O2512" s="132" t="s">
        <v>6555</v>
      </c>
      <c r="P2512" s="132" t="s">
        <v>6473</v>
      </c>
      <c r="Q2512" s="132" t="s">
        <v>1108</v>
      </c>
    </row>
    <row r="2513" spans="1:17" x14ac:dyDescent="0.2">
      <c r="A2513" t="s">
        <v>147</v>
      </c>
      <c r="B2513" s="141">
        <f t="shared" si="40"/>
        <v>2.64</v>
      </c>
      <c r="C2513" s="280">
        <v>45911</v>
      </c>
      <c r="D2513" s="279">
        <v>45915</v>
      </c>
      <c r="E2513" s="279">
        <v>45915</v>
      </c>
      <c r="F2513" s="132"/>
      <c r="G2513" s="132" t="s">
        <v>1108</v>
      </c>
      <c r="H2513" s="132" t="s">
        <v>373</v>
      </c>
      <c r="I2513" s="132" t="s">
        <v>1100</v>
      </c>
      <c r="J2513" s="132" t="s">
        <v>3022</v>
      </c>
      <c r="K2513" s="132" t="s">
        <v>3023</v>
      </c>
      <c r="L2513" s="132" t="s">
        <v>3024</v>
      </c>
      <c r="M2513" s="132" t="s">
        <v>6556</v>
      </c>
      <c r="N2513" s="132" t="s">
        <v>1117</v>
      </c>
      <c r="O2513" s="132" t="s">
        <v>6557</v>
      </c>
      <c r="P2513" s="132" t="s">
        <v>6473</v>
      </c>
      <c r="Q2513" s="132" t="s">
        <v>1108</v>
      </c>
    </row>
    <row r="2514" spans="1:17" x14ac:dyDescent="0.2">
      <c r="A2514" t="s">
        <v>147</v>
      </c>
      <c r="B2514" s="141">
        <f t="shared" si="40"/>
        <v>2.62</v>
      </c>
      <c r="C2514" s="280">
        <v>45911</v>
      </c>
      <c r="D2514" s="279">
        <v>45915</v>
      </c>
      <c r="E2514" s="279">
        <v>45915</v>
      </c>
      <c r="F2514" s="132"/>
      <c r="G2514" s="132" t="s">
        <v>1108</v>
      </c>
      <c r="H2514" s="132" t="s">
        <v>373</v>
      </c>
      <c r="I2514" s="132" t="s">
        <v>1100</v>
      </c>
      <c r="J2514" s="132" t="s">
        <v>3022</v>
      </c>
      <c r="K2514" s="132" t="s">
        <v>1742</v>
      </c>
      <c r="L2514" s="132" t="s">
        <v>3029</v>
      </c>
      <c r="M2514" s="132" t="s">
        <v>6558</v>
      </c>
      <c r="N2514" s="132" t="s">
        <v>1112</v>
      </c>
      <c r="O2514" s="132" t="s">
        <v>6559</v>
      </c>
      <c r="P2514" s="132" t="s">
        <v>6473</v>
      </c>
      <c r="Q2514" s="132" t="s">
        <v>1108</v>
      </c>
    </row>
    <row r="2515" spans="1:17" x14ac:dyDescent="0.2">
      <c r="A2515" t="s">
        <v>293</v>
      </c>
      <c r="B2515" s="141">
        <f t="shared" si="40"/>
        <v>53.65</v>
      </c>
      <c r="C2515" s="280">
        <v>45911</v>
      </c>
      <c r="D2515" s="279">
        <v>45915</v>
      </c>
      <c r="E2515" s="279">
        <v>45915</v>
      </c>
      <c r="F2515" s="132"/>
      <c r="G2515" s="132" t="s">
        <v>1108</v>
      </c>
      <c r="H2515" s="132" t="s">
        <v>373</v>
      </c>
      <c r="I2515" s="132" t="s">
        <v>1100</v>
      </c>
      <c r="J2515" s="132" t="s">
        <v>5602</v>
      </c>
      <c r="K2515" s="132" t="s">
        <v>5608</v>
      </c>
      <c r="L2515" s="132" t="s">
        <v>5609</v>
      </c>
      <c r="M2515" s="132" t="s">
        <v>6560</v>
      </c>
      <c r="N2515" s="132" t="s">
        <v>1117</v>
      </c>
      <c r="O2515" s="132" t="s">
        <v>6561</v>
      </c>
      <c r="P2515" s="132" t="s">
        <v>6473</v>
      </c>
      <c r="Q2515" s="132" t="s">
        <v>1108</v>
      </c>
    </row>
    <row r="2516" spans="1:17" x14ac:dyDescent="0.2">
      <c r="A2516" t="s">
        <v>81</v>
      </c>
      <c r="B2516" s="141">
        <f t="shared" si="40"/>
        <v>42.86</v>
      </c>
      <c r="C2516" s="280">
        <v>45911</v>
      </c>
      <c r="D2516" s="279">
        <v>45915</v>
      </c>
      <c r="E2516" s="279">
        <v>45915</v>
      </c>
      <c r="F2516" s="132"/>
      <c r="G2516" s="132" t="s">
        <v>5302</v>
      </c>
      <c r="H2516" s="132" t="s">
        <v>373</v>
      </c>
      <c r="I2516" s="132" t="s">
        <v>1100</v>
      </c>
      <c r="J2516" s="132" t="s">
        <v>4790</v>
      </c>
      <c r="K2516" s="132" t="s">
        <v>4791</v>
      </c>
      <c r="L2516" s="132" t="s">
        <v>4565</v>
      </c>
      <c r="M2516" s="132" t="s">
        <v>6562</v>
      </c>
      <c r="N2516" s="132" t="s">
        <v>1105</v>
      </c>
      <c r="O2516" s="132" t="s">
        <v>6563</v>
      </c>
      <c r="P2516" s="132" t="s">
        <v>6473</v>
      </c>
      <c r="Q2516" s="132" t="s">
        <v>1108</v>
      </c>
    </row>
    <row r="2517" spans="1:17" x14ac:dyDescent="0.2">
      <c r="A2517" t="s">
        <v>147</v>
      </c>
      <c r="B2517" s="141">
        <f t="shared" si="40"/>
        <v>2.64</v>
      </c>
      <c r="C2517" s="280">
        <v>45912</v>
      </c>
      <c r="D2517" s="279">
        <v>45916</v>
      </c>
      <c r="E2517" s="279">
        <v>45916</v>
      </c>
      <c r="F2517" s="132"/>
      <c r="G2517" s="132" t="s">
        <v>5546</v>
      </c>
      <c r="H2517" s="132" t="s">
        <v>373</v>
      </c>
      <c r="I2517" s="132" t="s">
        <v>1100</v>
      </c>
      <c r="J2517" s="132" t="s">
        <v>3022</v>
      </c>
      <c r="K2517" s="132" t="s">
        <v>3023</v>
      </c>
      <c r="L2517" s="132" t="s">
        <v>3024</v>
      </c>
      <c r="M2517" s="132" t="s">
        <v>6564</v>
      </c>
      <c r="N2517" s="132" t="s">
        <v>1105</v>
      </c>
      <c r="O2517" s="132" t="s">
        <v>6565</v>
      </c>
      <c r="P2517" s="132" t="s">
        <v>6566</v>
      </c>
      <c r="Q2517" s="132" t="s">
        <v>1108</v>
      </c>
    </row>
    <row r="2518" spans="1:17" x14ac:dyDescent="0.2">
      <c r="A2518" t="s">
        <v>147</v>
      </c>
      <c r="B2518" s="141">
        <f t="shared" si="40"/>
        <v>2.64</v>
      </c>
      <c r="C2518" s="280">
        <v>45912</v>
      </c>
      <c r="D2518" s="279">
        <v>45916</v>
      </c>
      <c r="E2518" s="279">
        <v>45916</v>
      </c>
      <c r="F2518" s="132"/>
      <c r="G2518" s="132" t="s">
        <v>5239</v>
      </c>
      <c r="H2518" s="132" t="s">
        <v>373</v>
      </c>
      <c r="I2518" s="132" t="s">
        <v>1100</v>
      </c>
      <c r="J2518" s="132" t="s">
        <v>3022</v>
      </c>
      <c r="K2518" s="132" t="s">
        <v>3023</v>
      </c>
      <c r="L2518" s="132" t="s">
        <v>3024</v>
      </c>
      <c r="M2518" s="132" t="s">
        <v>6567</v>
      </c>
      <c r="N2518" s="132" t="s">
        <v>1105</v>
      </c>
      <c r="O2518" s="132" t="s">
        <v>6568</v>
      </c>
      <c r="P2518" s="132" t="s">
        <v>6566</v>
      </c>
      <c r="Q2518" s="132" t="s">
        <v>1108</v>
      </c>
    </row>
    <row r="2519" spans="1:17" x14ac:dyDescent="0.2">
      <c r="A2519" t="s">
        <v>147</v>
      </c>
      <c r="B2519" s="141">
        <f t="shared" si="40"/>
        <v>2.64</v>
      </c>
      <c r="C2519" s="280">
        <v>45912</v>
      </c>
      <c r="D2519" s="279">
        <v>45916</v>
      </c>
      <c r="E2519" s="279">
        <v>45916</v>
      </c>
      <c r="F2519" s="132"/>
      <c r="G2519" s="132" t="s">
        <v>1378</v>
      </c>
      <c r="H2519" s="132" t="s">
        <v>373</v>
      </c>
      <c r="I2519" s="132" t="s">
        <v>1100</v>
      </c>
      <c r="J2519" s="132" t="s">
        <v>3022</v>
      </c>
      <c r="K2519" s="132" t="s">
        <v>3023</v>
      </c>
      <c r="L2519" s="132" t="s">
        <v>3024</v>
      </c>
      <c r="M2519" s="132" t="s">
        <v>6569</v>
      </c>
      <c r="N2519" s="132" t="s">
        <v>1105</v>
      </c>
      <c r="O2519" s="132" t="s">
        <v>6570</v>
      </c>
      <c r="P2519" s="132" t="s">
        <v>6566</v>
      </c>
      <c r="Q2519" s="132" t="s">
        <v>1108</v>
      </c>
    </row>
    <row r="2520" spans="1:17" x14ac:dyDescent="0.2">
      <c r="A2520" t="s">
        <v>147</v>
      </c>
      <c r="B2520" s="141">
        <f t="shared" si="40"/>
        <v>2.64</v>
      </c>
      <c r="C2520" s="280">
        <v>45912</v>
      </c>
      <c r="D2520" s="279">
        <v>45916</v>
      </c>
      <c r="E2520" s="279">
        <v>45916</v>
      </c>
      <c r="F2520" s="132"/>
      <c r="G2520" s="132" t="s">
        <v>4890</v>
      </c>
      <c r="H2520" s="132" t="s">
        <v>373</v>
      </c>
      <c r="I2520" s="132" t="s">
        <v>1100</v>
      </c>
      <c r="J2520" s="132" t="s">
        <v>3022</v>
      </c>
      <c r="K2520" s="132" t="s">
        <v>3023</v>
      </c>
      <c r="L2520" s="132" t="s">
        <v>3024</v>
      </c>
      <c r="M2520" s="132" t="s">
        <v>6571</v>
      </c>
      <c r="N2520" s="132" t="s">
        <v>1105</v>
      </c>
      <c r="O2520" s="132" t="s">
        <v>6572</v>
      </c>
      <c r="P2520" s="132" t="s">
        <v>6566</v>
      </c>
      <c r="Q2520" s="132" t="s">
        <v>1108</v>
      </c>
    </row>
    <row r="2521" spans="1:17" x14ac:dyDescent="0.2">
      <c r="A2521" t="s">
        <v>147</v>
      </c>
      <c r="B2521" s="141">
        <f t="shared" si="40"/>
        <v>2.64</v>
      </c>
      <c r="C2521" s="280">
        <v>45912</v>
      </c>
      <c r="D2521" s="279">
        <v>45916</v>
      </c>
      <c r="E2521" s="279">
        <v>45916</v>
      </c>
      <c r="F2521" s="132"/>
      <c r="G2521" s="132" t="s">
        <v>1108</v>
      </c>
      <c r="H2521" s="132" t="s">
        <v>373</v>
      </c>
      <c r="I2521" s="132" t="s">
        <v>1100</v>
      </c>
      <c r="J2521" s="132" t="s">
        <v>3022</v>
      </c>
      <c r="K2521" s="132" t="s">
        <v>3023</v>
      </c>
      <c r="L2521" s="132" t="s">
        <v>3024</v>
      </c>
      <c r="M2521" s="132" t="s">
        <v>6573</v>
      </c>
      <c r="N2521" s="132" t="s">
        <v>1117</v>
      </c>
      <c r="O2521" s="132" t="s">
        <v>6574</v>
      </c>
      <c r="P2521" s="132" t="s">
        <v>6566</v>
      </c>
      <c r="Q2521" s="132" t="s">
        <v>1108</v>
      </c>
    </row>
    <row r="2522" spans="1:17" x14ac:dyDescent="0.2">
      <c r="A2522" t="s">
        <v>147</v>
      </c>
      <c r="B2522" s="141">
        <f t="shared" si="40"/>
        <v>2.64</v>
      </c>
      <c r="C2522" s="280">
        <v>45912</v>
      </c>
      <c r="D2522" s="279">
        <v>45916</v>
      </c>
      <c r="E2522" s="279">
        <v>45916</v>
      </c>
      <c r="F2522" s="132"/>
      <c r="G2522" s="132" t="s">
        <v>1108</v>
      </c>
      <c r="H2522" s="132" t="s">
        <v>373</v>
      </c>
      <c r="I2522" s="132" t="s">
        <v>1100</v>
      </c>
      <c r="J2522" s="132" t="s">
        <v>3022</v>
      </c>
      <c r="K2522" s="132" t="s">
        <v>3023</v>
      </c>
      <c r="L2522" s="132" t="s">
        <v>3024</v>
      </c>
      <c r="M2522" s="132" t="s">
        <v>6575</v>
      </c>
      <c r="N2522" s="132" t="s">
        <v>1117</v>
      </c>
      <c r="O2522" s="132" t="s">
        <v>6576</v>
      </c>
      <c r="P2522" s="132" t="s">
        <v>6566</v>
      </c>
      <c r="Q2522" s="132" t="s">
        <v>1108</v>
      </c>
    </row>
    <row r="2523" spans="1:17" x14ac:dyDescent="0.2">
      <c r="A2523" t="s">
        <v>147</v>
      </c>
      <c r="B2523" s="141">
        <f t="shared" si="40"/>
        <v>2.64</v>
      </c>
      <c r="C2523" s="280">
        <v>45913</v>
      </c>
      <c r="D2523" s="279">
        <v>45916</v>
      </c>
      <c r="E2523" s="279">
        <v>45916</v>
      </c>
      <c r="F2523" s="132"/>
      <c r="G2523" s="132" t="s">
        <v>1108</v>
      </c>
      <c r="H2523" s="132" t="s">
        <v>373</v>
      </c>
      <c r="I2523" s="132" t="s">
        <v>1100</v>
      </c>
      <c r="J2523" s="132" t="s">
        <v>3022</v>
      </c>
      <c r="K2523" s="132" t="s">
        <v>3023</v>
      </c>
      <c r="L2523" s="132" t="s">
        <v>3024</v>
      </c>
      <c r="M2523" s="132" t="s">
        <v>6577</v>
      </c>
      <c r="N2523" s="132" t="s">
        <v>1117</v>
      </c>
      <c r="O2523" s="132" t="s">
        <v>6578</v>
      </c>
      <c r="P2523" s="132" t="s">
        <v>6566</v>
      </c>
      <c r="Q2523" s="132" t="s">
        <v>1108</v>
      </c>
    </row>
    <row r="2524" spans="1:17" x14ac:dyDescent="0.2">
      <c r="A2524" t="s">
        <v>147</v>
      </c>
      <c r="B2524" s="141">
        <f t="shared" si="40"/>
        <v>2.64</v>
      </c>
      <c r="C2524" s="280">
        <v>45913</v>
      </c>
      <c r="D2524" s="279">
        <v>45916</v>
      </c>
      <c r="E2524" s="279">
        <v>45916</v>
      </c>
      <c r="F2524" s="132"/>
      <c r="G2524" s="132" t="s">
        <v>1108</v>
      </c>
      <c r="H2524" s="132" t="s">
        <v>373</v>
      </c>
      <c r="I2524" s="132" t="s">
        <v>1100</v>
      </c>
      <c r="J2524" s="132" t="s">
        <v>3022</v>
      </c>
      <c r="K2524" s="132" t="s">
        <v>3023</v>
      </c>
      <c r="L2524" s="132" t="s">
        <v>3024</v>
      </c>
      <c r="M2524" s="132" t="s">
        <v>6579</v>
      </c>
      <c r="N2524" s="132" t="s">
        <v>1117</v>
      </c>
      <c r="O2524" s="132" t="s">
        <v>6580</v>
      </c>
      <c r="P2524" s="132" t="s">
        <v>6566</v>
      </c>
      <c r="Q2524" s="132" t="s">
        <v>1108</v>
      </c>
    </row>
    <row r="2525" spans="1:17" x14ac:dyDescent="0.2">
      <c r="A2525" t="s">
        <v>147</v>
      </c>
      <c r="B2525" s="141">
        <f t="shared" si="40"/>
        <v>2.64</v>
      </c>
      <c r="C2525" s="280">
        <v>45913</v>
      </c>
      <c r="D2525" s="279">
        <v>45916</v>
      </c>
      <c r="E2525" s="279">
        <v>45916</v>
      </c>
      <c r="F2525" s="132"/>
      <c r="G2525" s="132" t="s">
        <v>1108</v>
      </c>
      <c r="H2525" s="132" t="s">
        <v>373</v>
      </c>
      <c r="I2525" s="132" t="s">
        <v>1100</v>
      </c>
      <c r="J2525" s="132" t="s">
        <v>3022</v>
      </c>
      <c r="K2525" s="132" t="s">
        <v>3023</v>
      </c>
      <c r="L2525" s="132" t="s">
        <v>3024</v>
      </c>
      <c r="M2525" s="132" t="s">
        <v>6581</v>
      </c>
      <c r="N2525" s="132" t="s">
        <v>1117</v>
      </c>
      <c r="O2525" s="132" t="s">
        <v>6582</v>
      </c>
      <c r="P2525" s="132" t="s">
        <v>6566</v>
      </c>
      <c r="Q2525" s="132" t="s">
        <v>1108</v>
      </c>
    </row>
    <row r="2526" spans="1:17" x14ac:dyDescent="0.2">
      <c r="A2526" t="s">
        <v>148</v>
      </c>
      <c r="B2526" s="141">
        <f t="shared" si="40"/>
        <v>12.450000000000001</v>
      </c>
      <c r="C2526" s="280">
        <v>45913</v>
      </c>
      <c r="D2526" s="279">
        <v>45916</v>
      </c>
      <c r="E2526" s="279">
        <v>45916</v>
      </c>
      <c r="F2526" s="132"/>
      <c r="G2526" s="132" t="s">
        <v>1108</v>
      </c>
      <c r="H2526" s="132" t="s">
        <v>373</v>
      </c>
      <c r="I2526" s="132" t="s">
        <v>1100</v>
      </c>
      <c r="J2526" s="132" t="s">
        <v>6583</v>
      </c>
      <c r="K2526" s="132" t="s">
        <v>6584</v>
      </c>
      <c r="L2526" s="132" t="s">
        <v>4558</v>
      </c>
      <c r="M2526" s="132" t="s">
        <v>6585</v>
      </c>
      <c r="N2526" s="132" t="s">
        <v>1117</v>
      </c>
      <c r="O2526" s="132" t="s">
        <v>6586</v>
      </c>
      <c r="P2526" s="132" t="s">
        <v>6566</v>
      </c>
      <c r="Q2526" s="132" t="s">
        <v>1108</v>
      </c>
    </row>
    <row r="2527" spans="1:17" x14ac:dyDescent="0.2">
      <c r="A2527" t="s">
        <v>147</v>
      </c>
      <c r="B2527" s="141">
        <f t="shared" si="40"/>
        <v>2.64</v>
      </c>
      <c r="C2527" s="280">
        <v>45913</v>
      </c>
      <c r="D2527" s="279">
        <v>45916</v>
      </c>
      <c r="E2527" s="279">
        <v>45916</v>
      </c>
      <c r="F2527" s="132"/>
      <c r="G2527" s="132" t="s">
        <v>4824</v>
      </c>
      <c r="H2527" s="132" t="s">
        <v>373</v>
      </c>
      <c r="I2527" s="132" t="s">
        <v>1100</v>
      </c>
      <c r="J2527" s="132" t="s">
        <v>3022</v>
      </c>
      <c r="K2527" s="132" t="s">
        <v>3023</v>
      </c>
      <c r="L2527" s="132" t="s">
        <v>3024</v>
      </c>
      <c r="M2527" s="132" t="s">
        <v>6587</v>
      </c>
      <c r="N2527" s="132" t="s">
        <v>1105</v>
      </c>
      <c r="O2527" s="132" t="s">
        <v>6588</v>
      </c>
      <c r="P2527" s="132" t="s">
        <v>6566</v>
      </c>
      <c r="Q2527" s="132" t="s">
        <v>1108</v>
      </c>
    </row>
    <row r="2528" spans="1:17" x14ac:dyDescent="0.2">
      <c r="A2528" t="s">
        <v>148</v>
      </c>
      <c r="B2528" s="141">
        <f t="shared" si="40"/>
        <v>4.57</v>
      </c>
      <c r="C2528" s="280">
        <v>45914</v>
      </c>
      <c r="D2528" s="279">
        <v>45916</v>
      </c>
      <c r="E2528" s="279">
        <v>45916</v>
      </c>
      <c r="F2528" s="132"/>
      <c r="G2528" s="132" t="s">
        <v>1108</v>
      </c>
      <c r="H2528" s="132" t="s">
        <v>373</v>
      </c>
      <c r="I2528" s="132" t="s">
        <v>1100</v>
      </c>
      <c r="J2528" s="132" t="s">
        <v>2671</v>
      </c>
      <c r="K2528" s="132" t="s">
        <v>1927</v>
      </c>
      <c r="L2528" s="132" t="s">
        <v>2740</v>
      </c>
      <c r="M2528" s="132" t="s">
        <v>6589</v>
      </c>
      <c r="N2528" s="132" t="s">
        <v>1112</v>
      </c>
      <c r="O2528" s="132" t="s">
        <v>6590</v>
      </c>
      <c r="P2528" s="132" t="s">
        <v>6566</v>
      </c>
      <c r="Q2528" s="132" t="s">
        <v>1108</v>
      </c>
    </row>
    <row r="2529" spans="1:17" x14ac:dyDescent="0.2">
      <c r="A2529" t="s">
        <v>148</v>
      </c>
      <c r="B2529" s="141">
        <f t="shared" si="40"/>
        <v>4.6000000000000005</v>
      </c>
      <c r="C2529" s="280">
        <v>45914</v>
      </c>
      <c r="D2529" s="279">
        <v>45916</v>
      </c>
      <c r="E2529" s="279">
        <v>45916</v>
      </c>
      <c r="F2529" s="132"/>
      <c r="G2529" s="132" t="s">
        <v>1108</v>
      </c>
      <c r="H2529" s="132" t="s">
        <v>373</v>
      </c>
      <c r="I2529" s="132" t="s">
        <v>1100</v>
      </c>
      <c r="J2529" s="132" t="s">
        <v>2671</v>
      </c>
      <c r="K2529" s="132" t="s">
        <v>2672</v>
      </c>
      <c r="L2529" s="132" t="s">
        <v>2673</v>
      </c>
      <c r="M2529" s="132" t="s">
        <v>6591</v>
      </c>
      <c r="N2529" s="132" t="s">
        <v>1117</v>
      </c>
      <c r="O2529" s="132" t="s">
        <v>6592</v>
      </c>
      <c r="P2529" s="132" t="s">
        <v>6566</v>
      </c>
      <c r="Q2529" s="132" t="s">
        <v>1108</v>
      </c>
    </row>
    <row r="2530" spans="1:17" x14ac:dyDescent="0.2">
      <c r="A2530" t="s">
        <v>147</v>
      </c>
      <c r="B2530" s="141">
        <f t="shared" si="40"/>
        <v>2.62</v>
      </c>
      <c r="C2530" s="280">
        <v>45914</v>
      </c>
      <c r="D2530" s="279">
        <v>45916</v>
      </c>
      <c r="E2530" s="279">
        <v>45916</v>
      </c>
      <c r="F2530" s="132"/>
      <c r="G2530" s="132" t="s">
        <v>1108</v>
      </c>
      <c r="H2530" s="132" t="s">
        <v>373</v>
      </c>
      <c r="I2530" s="132" t="s">
        <v>1100</v>
      </c>
      <c r="J2530" s="132" t="s">
        <v>3022</v>
      </c>
      <c r="K2530" s="132" t="s">
        <v>1742</v>
      </c>
      <c r="L2530" s="132" t="s">
        <v>3029</v>
      </c>
      <c r="M2530" s="132" t="s">
        <v>6593</v>
      </c>
      <c r="N2530" s="132" t="s">
        <v>1112</v>
      </c>
      <c r="O2530" s="132" t="s">
        <v>6594</v>
      </c>
      <c r="P2530" s="132" t="s">
        <v>6566</v>
      </c>
      <c r="Q2530" s="132" t="s">
        <v>1108</v>
      </c>
    </row>
    <row r="2531" spans="1:17" x14ac:dyDescent="0.2">
      <c r="A2531" t="s">
        <v>148</v>
      </c>
      <c r="B2531" s="141">
        <f t="shared" si="40"/>
        <v>7.55</v>
      </c>
      <c r="C2531" s="280">
        <v>45914</v>
      </c>
      <c r="D2531" s="279">
        <v>45916</v>
      </c>
      <c r="E2531" s="279">
        <v>45916</v>
      </c>
      <c r="F2531" s="132"/>
      <c r="G2531" s="132" t="s">
        <v>1108</v>
      </c>
      <c r="H2531" s="132" t="s">
        <v>373</v>
      </c>
      <c r="I2531" s="132" t="s">
        <v>1100</v>
      </c>
      <c r="J2531" s="132" t="s">
        <v>3053</v>
      </c>
      <c r="K2531" s="132" t="s">
        <v>2751</v>
      </c>
      <c r="L2531" s="132" t="s">
        <v>1951</v>
      </c>
      <c r="M2531" s="132" t="s">
        <v>6595</v>
      </c>
      <c r="N2531" s="132" t="s">
        <v>1117</v>
      </c>
      <c r="O2531" s="132" t="s">
        <v>6596</v>
      </c>
      <c r="P2531" s="132" t="s">
        <v>6566</v>
      </c>
      <c r="Q2531" s="132" t="s">
        <v>1108</v>
      </c>
    </row>
    <row r="2532" spans="1:17" x14ac:dyDescent="0.2">
      <c r="A2532" t="s">
        <v>147</v>
      </c>
      <c r="B2532" s="141">
        <f t="shared" si="40"/>
        <v>2.64</v>
      </c>
      <c r="C2532" s="280">
        <v>45914</v>
      </c>
      <c r="D2532" s="279">
        <v>45916</v>
      </c>
      <c r="E2532" s="279">
        <v>45916</v>
      </c>
      <c r="F2532" s="132"/>
      <c r="G2532" s="132" t="s">
        <v>1108</v>
      </c>
      <c r="H2532" s="132" t="s">
        <v>373</v>
      </c>
      <c r="I2532" s="132" t="s">
        <v>1100</v>
      </c>
      <c r="J2532" s="132" t="s">
        <v>3022</v>
      </c>
      <c r="K2532" s="132" t="s">
        <v>3023</v>
      </c>
      <c r="L2532" s="132" t="s">
        <v>3024</v>
      </c>
      <c r="M2532" s="132" t="s">
        <v>6597</v>
      </c>
      <c r="N2532" s="132" t="s">
        <v>1117</v>
      </c>
      <c r="O2532" s="132" t="s">
        <v>6598</v>
      </c>
      <c r="P2532" s="132" t="s">
        <v>6566</v>
      </c>
      <c r="Q2532" s="132" t="s">
        <v>1108</v>
      </c>
    </row>
    <row r="2533" spans="1:17" x14ac:dyDescent="0.2">
      <c r="A2533" t="s">
        <v>147</v>
      </c>
      <c r="B2533" s="141">
        <f t="shared" si="40"/>
        <v>2.64</v>
      </c>
      <c r="C2533" s="280">
        <v>45914</v>
      </c>
      <c r="D2533" s="279">
        <v>45916</v>
      </c>
      <c r="E2533" s="279">
        <v>45916</v>
      </c>
      <c r="F2533" s="132"/>
      <c r="G2533" s="132" t="s">
        <v>4918</v>
      </c>
      <c r="H2533" s="132" t="s">
        <v>373</v>
      </c>
      <c r="I2533" s="132" t="s">
        <v>1100</v>
      </c>
      <c r="J2533" s="132" t="s">
        <v>3022</v>
      </c>
      <c r="K2533" s="132" t="s">
        <v>3023</v>
      </c>
      <c r="L2533" s="132" t="s">
        <v>3024</v>
      </c>
      <c r="M2533" s="132" t="s">
        <v>6599</v>
      </c>
      <c r="N2533" s="132" t="s">
        <v>1105</v>
      </c>
      <c r="O2533" s="132" t="s">
        <v>6600</v>
      </c>
      <c r="P2533" s="132" t="s">
        <v>6566</v>
      </c>
      <c r="Q2533" s="132" t="s">
        <v>1108</v>
      </c>
    </row>
    <row r="2534" spans="1:17" x14ac:dyDescent="0.2">
      <c r="A2534" t="s">
        <v>147</v>
      </c>
      <c r="B2534" s="141">
        <f t="shared" si="40"/>
        <v>2.64</v>
      </c>
      <c r="C2534" s="280">
        <v>45914</v>
      </c>
      <c r="D2534" s="279">
        <v>45916</v>
      </c>
      <c r="E2534" s="279">
        <v>45916</v>
      </c>
      <c r="F2534" s="132"/>
      <c r="G2534" s="132" t="s">
        <v>1108</v>
      </c>
      <c r="H2534" s="132" t="s">
        <v>373</v>
      </c>
      <c r="I2534" s="132" t="s">
        <v>1100</v>
      </c>
      <c r="J2534" s="132" t="s">
        <v>3022</v>
      </c>
      <c r="K2534" s="132" t="s">
        <v>3023</v>
      </c>
      <c r="L2534" s="132" t="s">
        <v>3024</v>
      </c>
      <c r="M2534" s="132" t="s">
        <v>6601</v>
      </c>
      <c r="N2534" s="132" t="s">
        <v>1117</v>
      </c>
      <c r="O2534" s="132" t="s">
        <v>6602</v>
      </c>
      <c r="P2534" s="132" t="s">
        <v>6566</v>
      </c>
      <c r="Q2534" s="132" t="s">
        <v>1108</v>
      </c>
    </row>
    <row r="2535" spans="1:17" x14ac:dyDescent="0.2">
      <c r="A2535" t="s">
        <v>147</v>
      </c>
      <c r="B2535" s="141">
        <f t="shared" si="40"/>
        <v>2.64</v>
      </c>
      <c r="C2535" s="280">
        <v>45914</v>
      </c>
      <c r="D2535" s="279">
        <v>45916</v>
      </c>
      <c r="E2535" s="279">
        <v>45916</v>
      </c>
      <c r="F2535" s="132"/>
      <c r="G2535" s="132" t="s">
        <v>1108</v>
      </c>
      <c r="H2535" s="132" t="s">
        <v>373</v>
      </c>
      <c r="I2535" s="132" t="s">
        <v>1100</v>
      </c>
      <c r="J2535" s="132" t="s">
        <v>3022</v>
      </c>
      <c r="K2535" s="132" t="s">
        <v>3023</v>
      </c>
      <c r="L2535" s="132" t="s">
        <v>3024</v>
      </c>
      <c r="M2535" s="132" t="s">
        <v>6603</v>
      </c>
      <c r="N2535" s="132" t="s">
        <v>1117</v>
      </c>
      <c r="O2535" s="281" t="s">
        <v>6604</v>
      </c>
      <c r="P2535" s="132" t="s">
        <v>6566</v>
      </c>
      <c r="Q2535" s="132" t="s">
        <v>1108</v>
      </c>
    </row>
    <row r="2536" spans="1:17" x14ac:dyDescent="0.2">
      <c r="A2536" t="s">
        <v>147</v>
      </c>
      <c r="B2536" s="141">
        <f t="shared" si="40"/>
        <v>2.64</v>
      </c>
      <c r="C2536" s="280">
        <v>45914</v>
      </c>
      <c r="D2536" s="279">
        <v>45916</v>
      </c>
      <c r="E2536" s="279">
        <v>45916</v>
      </c>
      <c r="F2536" s="132"/>
      <c r="G2536" s="132" t="s">
        <v>1108</v>
      </c>
      <c r="H2536" s="132" t="s">
        <v>373</v>
      </c>
      <c r="I2536" s="132" t="s">
        <v>1100</v>
      </c>
      <c r="J2536" s="132" t="s">
        <v>3022</v>
      </c>
      <c r="K2536" s="132" t="s">
        <v>3023</v>
      </c>
      <c r="L2536" s="132" t="s">
        <v>3024</v>
      </c>
      <c r="M2536" s="132" t="s">
        <v>6605</v>
      </c>
      <c r="N2536" s="132" t="s">
        <v>1117</v>
      </c>
      <c r="O2536" s="132" t="s">
        <v>6606</v>
      </c>
      <c r="P2536" s="132" t="s">
        <v>6566</v>
      </c>
      <c r="Q2536" s="132" t="s">
        <v>1108</v>
      </c>
    </row>
    <row r="2537" spans="1:17" x14ac:dyDescent="0.2">
      <c r="A2537" t="s">
        <v>147</v>
      </c>
      <c r="B2537" s="141">
        <f t="shared" si="40"/>
        <v>2.62</v>
      </c>
      <c r="C2537" s="280">
        <v>45914</v>
      </c>
      <c r="D2537" s="279">
        <v>45916</v>
      </c>
      <c r="E2537" s="279">
        <v>45916</v>
      </c>
      <c r="F2537" s="132"/>
      <c r="G2537" s="132" t="s">
        <v>1108</v>
      </c>
      <c r="H2537" s="132" t="s">
        <v>373</v>
      </c>
      <c r="I2537" s="132" t="s">
        <v>1100</v>
      </c>
      <c r="J2537" s="132" t="s">
        <v>3022</v>
      </c>
      <c r="K2537" s="132" t="s">
        <v>1742</v>
      </c>
      <c r="L2537" s="132" t="s">
        <v>3029</v>
      </c>
      <c r="M2537" s="132" t="s">
        <v>6607</v>
      </c>
      <c r="N2537" s="132" t="s">
        <v>1112</v>
      </c>
      <c r="O2537" s="132" t="s">
        <v>6608</v>
      </c>
      <c r="P2537" s="132" t="s">
        <v>6566</v>
      </c>
      <c r="Q2537" s="132" t="s">
        <v>1108</v>
      </c>
    </row>
    <row r="2538" spans="1:17" x14ac:dyDescent="0.2">
      <c r="A2538" t="s">
        <v>147</v>
      </c>
      <c r="B2538" s="141">
        <f t="shared" si="40"/>
        <v>2.64</v>
      </c>
      <c r="C2538" s="280">
        <v>45914</v>
      </c>
      <c r="D2538" s="279">
        <v>45916</v>
      </c>
      <c r="E2538" s="279">
        <v>45916</v>
      </c>
      <c r="F2538" s="132"/>
      <c r="G2538" s="132" t="s">
        <v>1108</v>
      </c>
      <c r="H2538" s="132" t="s">
        <v>373</v>
      </c>
      <c r="I2538" s="132" t="s">
        <v>1100</v>
      </c>
      <c r="J2538" s="132" t="s">
        <v>3022</v>
      </c>
      <c r="K2538" s="132" t="s">
        <v>3023</v>
      </c>
      <c r="L2538" s="132" t="s">
        <v>3024</v>
      </c>
      <c r="M2538" s="132" t="s">
        <v>6609</v>
      </c>
      <c r="N2538" s="132" t="s">
        <v>1117</v>
      </c>
      <c r="O2538" s="132" t="s">
        <v>6610</v>
      </c>
      <c r="P2538" s="132" t="s">
        <v>6566</v>
      </c>
      <c r="Q2538" s="132" t="s">
        <v>1108</v>
      </c>
    </row>
    <row r="2539" spans="1:17" x14ac:dyDescent="0.2">
      <c r="A2539" t="s">
        <v>147</v>
      </c>
      <c r="B2539" s="141">
        <f t="shared" si="40"/>
        <v>2.64</v>
      </c>
      <c r="C2539" s="280">
        <v>45914</v>
      </c>
      <c r="D2539" s="279">
        <v>45916</v>
      </c>
      <c r="E2539" s="279">
        <v>45916</v>
      </c>
      <c r="F2539" s="132"/>
      <c r="G2539" s="132" t="s">
        <v>1108</v>
      </c>
      <c r="H2539" s="132" t="s">
        <v>373</v>
      </c>
      <c r="I2539" s="132" t="s">
        <v>1100</v>
      </c>
      <c r="J2539" s="132" t="s">
        <v>3022</v>
      </c>
      <c r="K2539" s="132" t="s">
        <v>3023</v>
      </c>
      <c r="L2539" s="132" t="s">
        <v>3024</v>
      </c>
      <c r="M2539" s="132" t="s">
        <v>6611</v>
      </c>
      <c r="N2539" s="132" t="s">
        <v>1117</v>
      </c>
      <c r="O2539" s="132" t="s">
        <v>6612</v>
      </c>
      <c r="P2539" s="132" t="s">
        <v>6566</v>
      </c>
      <c r="Q2539" s="132" t="s">
        <v>1108</v>
      </c>
    </row>
    <row r="2540" spans="1:17" x14ac:dyDescent="0.2">
      <c r="A2540" t="s">
        <v>148</v>
      </c>
      <c r="B2540" s="141">
        <f t="shared" si="40"/>
        <v>4.57</v>
      </c>
      <c r="C2540" s="280">
        <v>45914</v>
      </c>
      <c r="D2540" s="279">
        <v>45916</v>
      </c>
      <c r="E2540" s="279">
        <v>45916</v>
      </c>
      <c r="F2540" s="132"/>
      <c r="G2540" s="132" t="s">
        <v>1108</v>
      </c>
      <c r="H2540" s="132" t="s">
        <v>373</v>
      </c>
      <c r="I2540" s="132" t="s">
        <v>1100</v>
      </c>
      <c r="J2540" s="132" t="s">
        <v>2671</v>
      </c>
      <c r="K2540" s="132" t="s">
        <v>1927</v>
      </c>
      <c r="L2540" s="132" t="s">
        <v>2740</v>
      </c>
      <c r="M2540" s="132" t="s">
        <v>6613</v>
      </c>
      <c r="N2540" s="132" t="s">
        <v>1112</v>
      </c>
      <c r="O2540" s="132" t="s">
        <v>6614</v>
      </c>
      <c r="P2540" s="132" t="s">
        <v>6566</v>
      </c>
      <c r="Q2540" s="132" t="s">
        <v>1108</v>
      </c>
    </row>
    <row r="2541" spans="1:17" x14ac:dyDescent="0.2">
      <c r="B2541" s="141">
        <f t="shared" si="40"/>
        <v>-20</v>
      </c>
      <c r="C2541" s="280">
        <v>45915</v>
      </c>
      <c r="D2541" s="279">
        <v>45917</v>
      </c>
      <c r="E2541" s="279">
        <v>45916</v>
      </c>
      <c r="F2541" s="132"/>
      <c r="G2541" s="132" t="s">
        <v>1108</v>
      </c>
      <c r="H2541" s="132" t="s">
        <v>5588</v>
      </c>
      <c r="I2541" s="132" t="s">
        <v>1100</v>
      </c>
      <c r="J2541" s="132" t="s">
        <v>6615</v>
      </c>
      <c r="K2541" s="132" t="s">
        <v>6616</v>
      </c>
      <c r="L2541" s="132" t="s">
        <v>6617</v>
      </c>
      <c r="M2541" s="132" t="s">
        <v>6618</v>
      </c>
      <c r="N2541" s="132" t="s">
        <v>1112</v>
      </c>
      <c r="O2541" s="132" t="s">
        <v>6619</v>
      </c>
      <c r="P2541" s="132" t="s">
        <v>6566</v>
      </c>
      <c r="Q2541" s="132" t="s">
        <v>1108</v>
      </c>
    </row>
    <row r="2542" spans="1:17" x14ac:dyDescent="0.2">
      <c r="A2542" t="s">
        <v>147</v>
      </c>
      <c r="B2542" s="141">
        <f t="shared" ref="B2542:B2605" si="41">_xlfn.NUMBERVALUE(L2542)*0.01</f>
        <v>2.62</v>
      </c>
      <c r="C2542" s="280">
        <v>45915</v>
      </c>
      <c r="D2542" s="279">
        <v>45916</v>
      </c>
      <c r="E2542" s="279">
        <v>45916</v>
      </c>
      <c r="F2542" s="132"/>
      <c r="G2542" s="132" t="s">
        <v>1108</v>
      </c>
      <c r="H2542" s="132" t="s">
        <v>373</v>
      </c>
      <c r="I2542" s="132" t="s">
        <v>1100</v>
      </c>
      <c r="J2542" s="132" t="s">
        <v>3022</v>
      </c>
      <c r="K2542" s="132" t="s">
        <v>1742</v>
      </c>
      <c r="L2542" s="132" t="s">
        <v>3029</v>
      </c>
      <c r="M2542" s="132" t="s">
        <v>6620</v>
      </c>
      <c r="N2542" s="132" t="s">
        <v>1112</v>
      </c>
      <c r="O2542" s="132" t="s">
        <v>6621</v>
      </c>
      <c r="P2542" s="132" t="s">
        <v>6566</v>
      </c>
      <c r="Q2542" s="132" t="s">
        <v>1108</v>
      </c>
    </row>
    <row r="2543" spans="1:17" x14ac:dyDescent="0.2">
      <c r="A2543" t="s">
        <v>148</v>
      </c>
      <c r="B2543" s="141">
        <f t="shared" si="41"/>
        <v>4.6000000000000005</v>
      </c>
      <c r="C2543" s="280">
        <v>45915</v>
      </c>
      <c r="D2543" s="279">
        <v>45916</v>
      </c>
      <c r="E2543" s="279">
        <v>45916</v>
      </c>
      <c r="F2543" s="132"/>
      <c r="G2543" s="132" t="s">
        <v>1108</v>
      </c>
      <c r="H2543" s="132" t="s">
        <v>373</v>
      </c>
      <c r="I2543" s="132" t="s">
        <v>1100</v>
      </c>
      <c r="J2543" s="132" t="s">
        <v>2671</v>
      </c>
      <c r="K2543" s="132" t="s">
        <v>2672</v>
      </c>
      <c r="L2543" s="132" t="s">
        <v>2673</v>
      </c>
      <c r="M2543" s="132" t="s">
        <v>6622</v>
      </c>
      <c r="N2543" s="132" t="s">
        <v>1117</v>
      </c>
      <c r="O2543" s="132" t="s">
        <v>6623</v>
      </c>
      <c r="P2543" s="132" t="s">
        <v>6566</v>
      </c>
      <c r="Q2543" s="132" t="s">
        <v>1108</v>
      </c>
    </row>
    <row r="2544" spans="1:17" x14ac:dyDescent="0.2">
      <c r="A2544" t="s">
        <v>147</v>
      </c>
      <c r="B2544" s="141">
        <f t="shared" si="41"/>
        <v>2.64</v>
      </c>
      <c r="C2544" s="280">
        <v>45915</v>
      </c>
      <c r="D2544" s="279">
        <v>45917</v>
      </c>
      <c r="E2544" s="279">
        <v>45917</v>
      </c>
      <c r="F2544" s="132"/>
      <c r="G2544" s="132" t="s">
        <v>4834</v>
      </c>
      <c r="H2544" s="132" t="s">
        <v>373</v>
      </c>
      <c r="I2544" s="132" t="s">
        <v>1100</v>
      </c>
      <c r="J2544" s="132" t="s">
        <v>3022</v>
      </c>
      <c r="K2544" s="132" t="s">
        <v>3023</v>
      </c>
      <c r="L2544" s="132" t="s">
        <v>3024</v>
      </c>
      <c r="M2544" s="132" t="s">
        <v>6624</v>
      </c>
      <c r="N2544" s="132" t="s">
        <v>1105</v>
      </c>
      <c r="O2544" s="132" t="s">
        <v>6625</v>
      </c>
      <c r="P2544" s="132" t="s">
        <v>6626</v>
      </c>
      <c r="Q2544" s="132" t="s">
        <v>1108</v>
      </c>
    </row>
    <row r="2545" spans="1:17" x14ac:dyDescent="0.2">
      <c r="A2545" t="s">
        <v>295</v>
      </c>
      <c r="B2545" s="141">
        <f t="shared" si="41"/>
        <v>24.22</v>
      </c>
      <c r="C2545" s="280">
        <v>45915</v>
      </c>
      <c r="D2545" s="279">
        <v>45917</v>
      </c>
      <c r="E2545" s="279">
        <v>45917</v>
      </c>
      <c r="F2545" s="132"/>
      <c r="G2545" s="132" t="s">
        <v>1108</v>
      </c>
      <c r="H2545" s="132" t="s">
        <v>373</v>
      </c>
      <c r="I2545" s="132" t="s">
        <v>1100</v>
      </c>
      <c r="J2545" s="132" t="s">
        <v>6627</v>
      </c>
      <c r="K2545" s="132" t="s">
        <v>6628</v>
      </c>
      <c r="L2545" s="132" t="s">
        <v>3459</v>
      </c>
      <c r="M2545" s="132" t="s">
        <v>6629</v>
      </c>
      <c r="N2545" s="132" t="s">
        <v>1117</v>
      </c>
      <c r="O2545" s="132" t="s">
        <v>6630</v>
      </c>
      <c r="P2545" s="132" t="s">
        <v>6626</v>
      </c>
      <c r="Q2545" s="132">
        <v>10372</v>
      </c>
    </row>
    <row r="2546" spans="1:17" x14ac:dyDescent="0.2">
      <c r="A2546" t="s">
        <v>147</v>
      </c>
      <c r="B2546" s="141">
        <f t="shared" si="41"/>
        <v>2.64</v>
      </c>
      <c r="C2546" s="280">
        <v>45915</v>
      </c>
      <c r="D2546" s="279">
        <v>45917</v>
      </c>
      <c r="E2546" s="279">
        <v>45917</v>
      </c>
      <c r="F2546" s="132"/>
      <c r="G2546" s="132" t="s">
        <v>1108</v>
      </c>
      <c r="H2546" s="132" t="s">
        <v>373</v>
      </c>
      <c r="I2546" s="132" t="s">
        <v>1100</v>
      </c>
      <c r="J2546" s="132" t="s">
        <v>3022</v>
      </c>
      <c r="K2546" s="132" t="s">
        <v>3023</v>
      </c>
      <c r="L2546" s="132" t="s">
        <v>3024</v>
      </c>
      <c r="M2546" s="132" t="s">
        <v>6631</v>
      </c>
      <c r="N2546" s="132" t="s">
        <v>1117</v>
      </c>
      <c r="O2546" s="132" t="s">
        <v>6632</v>
      </c>
      <c r="P2546" s="132" t="s">
        <v>6626</v>
      </c>
      <c r="Q2546" s="132" t="s">
        <v>1108</v>
      </c>
    </row>
    <row r="2547" spans="1:17" x14ac:dyDescent="0.2">
      <c r="A2547" t="s">
        <v>147</v>
      </c>
      <c r="B2547" s="141">
        <f t="shared" si="41"/>
        <v>2.62</v>
      </c>
      <c r="C2547" s="280">
        <v>45915</v>
      </c>
      <c r="D2547" s="279">
        <v>45917</v>
      </c>
      <c r="E2547" s="279">
        <v>45917</v>
      </c>
      <c r="F2547" s="132"/>
      <c r="G2547" s="132" t="s">
        <v>1108</v>
      </c>
      <c r="H2547" s="132" t="s">
        <v>373</v>
      </c>
      <c r="I2547" s="132" t="s">
        <v>1100</v>
      </c>
      <c r="J2547" s="132" t="s">
        <v>3022</v>
      </c>
      <c r="K2547" s="132" t="s">
        <v>1742</v>
      </c>
      <c r="L2547" s="132" t="s">
        <v>3029</v>
      </c>
      <c r="M2547" s="132" t="s">
        <v>6633</v>
      </c>
      <c r="N2547" s="132" t="s">
        <v>1112</v>
      </c>
      <c r="O2547" s="132" t="s">
        <v>6634</v>
      </c>
      <c r="P2547" s="132" t="s">
        <v>6626</v>
      </c>
      <c r="Q2547" s="132" t="s">
        <v>1108</v>
      </c>
    </row>
    <row r="2548" spans="1:17" x14ac:dyDescent="0.2">
      <c r="A2548" t="s">
        <v>295</v>
      </c>
      <c r="B2548" s="141">
        <f t="shared" si="41"/>
        <v>24.07</v>
      </c>
      <c r="C2548" s="280">
        <v>45915</v>
      </c>
      <c r="D2548" s="279">
        <v>45917</v>
      </c>
      <c r="E2548" s="279">
        <v>45917</v>
      </c>
      <c r="F2548" s="132"/>
      <c r="G2548" s="132" t="s">
        <v>1108</v>
      </c>
      <c r="H2548" s="132" t="s">
        <v>373</v>
      </c>
      <c r="I2548" s="132" t="s">
        <v>1100</v>
      </c>
      <c r="J2548" s="132" t="s">
        <v>6627</v>
      </c>
      <c r="K2548" s="132" t="s">
        <v>6635</v>
      </c>
      <c r="L2548" s="132" t="s">
        <v>3432</v>
      </c>
      <c r="M2548" s="132" t="s">
        <v>6636</v>
      </c>
      <c r="N2548" s="132" t="s">
        <v>1112</v>
      </c>
      <c r="O2548" s="132" t="s">
        <v>6637</v>
      </c>
      <c r="P2548" s="132" t="s">
        <v>6626</v>
      </c>
      <c r="Q2548" s="132">
        <v>10371</v>
      </c>
    </row>
    <row r="2549" spans="1:17" x14ac:dyDescent="0.2">
      <c r="A2549" t="s">
        <v>295</v>
      </c>
      <c r="B2549" s="141">
        <f t="shared" si="41"/>
        <v>19.32</v>
      </c>
      <c r="C2549" s="280">
        <v>45915</v>
      </c>
      <c r="D2549" s="279">
        <v>45917</v>
      </c>
      <c r="E2549" s="279">
        <v>45917</v>
      </c>
      <c r="F2549" s="132"/>
      <c r="G2549" s="132" t="s">
        <v>1108</v>
      </c>
      <c r="H2549" s="132" t="s">
        <v>373</v>
      </c>
      <c r="I2549" s="132" t="s">
        <v>1100</v>
      </c>
      <c r="J2549" s="132" t="s">
        <v>6638</v>
      </c>
      <c r="K2549" s="132" t="s">
        <v>3681</v>
      </c>
      <c r="L2549" s="132" t="s">
        <v>6639</v>
      </c>
      <c r="M2549" s="132" t="s">
        <v>6640</v>
      </c>
      <c r="N2549" s="132" t="s">
        <v>1117</v>
      </c>
      <c r="O2549" s="132" t="s">
        <v>6641</v>
      </c>
      <c r="P2549" s="132" t="s">
        <v>6626</v>
      </c>
      <c r="Q2549" s="132">
        <v>10370</v>
      </c>
    </row>
    <row r="2550" spans="1:17" x14ac:dyDescent="0.2">
      <c r="A2550" t="s">
        <v>148</v>
      </c>
      <c r="B2550" s="141">
        <f t="shared" si="41"/>
        <v>4.6000000000000005</v>
      </c>
      <c r="C2550" s="280">
        <v>45915</v>
      </c>
      <c r="D2550" s="279">
        <v>45917</v>
      </c>
      <c r="E2550" s="279">
        <v>45917</v>
      </c>
      <c r="F2550" s="132"/>
      <c r="G2550" s="132" t="s">
        <v>1108</v>
      </c>
      <c r="H2550" s="132" t="s">
        <v>373</v>
      </c>
      <c r="I2550" s="132" t="s">
        <v>1100</v>
      </c>
      <c r="J2550" s="132" t="s">
        <v>2671</v>
      </c>
      <c r="K2550" s="132" t="s">
        <v>2672</v>
      </c>
      <c r="L2550" s="132" t="s">
        <v>2673</v>
      </c>
      <c r="M2550" s="132" t="s">
        <v>6642</v>
      </c>
      <c r="N2550" s="132" t="s">
        <v>1117</v>
      </c>
      <c r="O2550" s="132" t="s">
        <v>6643</v>
      </c>
      <c r="P2550" s="132" t="s">
        <v>6626</v>
      </c>
      <c r="Q2550" s="132" t="s">
        <v>1108</v>
      </c>
    </row>
    <row r="2551" spans="1:17" x14ac:dyDescent="0.2">
      <c r="A2551" t="s">
        <v>147</v>
      </c>
      <c r="B2551" s="141">
        <f t="shared" si="41"/>
        <v>2.64</v>
      </c>
      <c r="C2551" s="280">
        <v>45915</v>
      </c>
      <c r="D2551" s="279">
        <v>45917</v>
      </c>
      <c r="E2551" s="279">
        <v>45917</v>
      </c>
      <c r="F2551" s="132"/>
      <c r="G2551" s="132" t="s">
        <v>1108</v>
      </c>
      <c r="H2551" s="132" t="s">
        <v>373</v>
      </c>
      <c r="I2551" s="132" t="s">
        <v>1100</v>
      </c>
      <c r="J2551" s="132" t="s">
        <v>3022</v>
      </c>
      <c r="K2551" s="132" t="s">
        <v>3023</v>
      </c>
      <c r="L2551" s="132" t="s">
        <v>3024</v>
      </c>
      <c r="M2551" s="132" t="s">
        <v>6644</v>
      </c>
      <c r="N2551" s="132" t="s">
        <v>1117</v>
      </c>
      <c r="O2551" s="132" t="s">
        <v>6645</v>
      </c>
      <c r="P2551" s="132" t="s">
        <v>6626</v>
      </c>
      <c r="Q2551" s="132" t="s">
        <v>1108</v>
      </c>
    </row>
    <row r="2552" spans="1:17" x14ac:dyDescent="0.2">
      <c r="A2552" t="s">
        <v>147</v>
      </c>
      <c r="B2552" s="141">
        <f t="shared" si="41"/>
        <v>2.64</v>
      </c>
      <c r="C2552" s="280">
        <v>45915</v>
      </c>
      <c r="D2552" s="279">
        <v>45917</v>
      </c>
      <c r="E2552" s="279">
        <v>45917</v>
      </c>
      <c r="F2552" s="132"/>
      <c r="G2552" s="132" t="s">
        <v>1108</v>
      </c>
      <c r="H2552" s="132" t="s">
        <v>373</v>
      </c>
      <c r="I2552" s="132" t="s">
        <v>1100</v>
      </c>
      <c r="J2552" s="132" t="s">
        <v>3022</v>
      </c>
      <c r="K2552" s="132" t="s">
        <v>3023</v>
      </c>
      <c r="L2552" s="132" t="s">
        <v>3024</v>
      </c>
      <c r="M2552" s="132" t="s">
        <v>6646</v>
      </c>
      <c r="N2552" s="132" t="s">
        <v>1117</v>
      </c>
      <c r="O2552" s="132" t="s">
        <v>6647</v>
      </c>
      <c r="P2552" s="132" t="s">
        <v>6626</v>
      </c>
      <c r="Q2552" s="132" t="s">
        <v>1108</v>
      </c>
    </row>
    <row r="2553" spans="1:17" x14ac:dyDescent="0.2">
      <c r="A2553" t="s">
        <v>147</v>
      </c>
      <c r="B2553" s="141">
        <f t="shared" si="41"/>
        <v>2.64</v>
      </c>
      <c r="C2553" s="280">
        <v>45915</v>
      </c>
      <c r="D2553" s="279">
        <v>45917</v>
      </c>
      <c r="E2553" s="279">
        <v>45917</v>
      </c>
      <c r="F2553" s="132"/>
      <c r="G2553" s="132" t="s">
        <v>1108</v>
      </c>
      <c r="H2553" s="132" t="s">
        <v>373</v>
      </c>
      <c r="I2553" s="132" t="s">
        <v>1100</v>
      </c>
      <c r="J2553" s="132" t="s">
        <v>3022</v>
      </c>
      <c r="K2553" s="132" t="s">
        <v>3023</v>
      </c>
      <c r="L2553" s="132" t="s">
        <v>3024</v>
      </c>
      <c r="M2553" s="132" t="s">
        <v>6648</v>
      </c>
      <c r="N2553" s="132" t="s">
        <v>1117</v>
      </c>
      <c r="O2553" s="132" t="s">
        <v>6649</v>
      </c>
      <c r="P2553" s="132" t="s">
        <v>6626</v>
      </c>
      <c r="Q2553" s="132" t="s">
        <v>1108</v>
      </c>
    </row>
    <row r="2554" spans="1:17" x14ac:dyDescent="0.2">
      <c r="A2554" t="s">
        <v>295</v>
      </c>
      <c r="B2554" s="141">
        <f t="shared" si="41"/>
        <v>14.32</v>
      </c>
      <c r="C2554" s="280">
        <v>45915</v>
      </c>
      <c r="D2554" s="279">
        <v>45917</v>
      </c>
      <c r="E2554" s="279">
        <v>45917</v>
      </c>
      <c r="F2554" s="132"/>
      <c r="G2554" s="132" t="s">
        <v>1108</v>
      </c>
      <c r="H2554" s="132" t="s">
        <v>373</v>
      </c>
      <c r="I2554" s="132" t="s">
        <v>1100</v>
      </c>
      <c r="J2554" s="132" t="s">
        <v>6650</v>
      </c>
      <c r="K2554" s="132" t="s">
        <v>3681</v>
      </c>
      <c r="L2554" s="132" t="s">
        <v>1190</v>
      </c>
      <c r="M2554" s="132" t="s">
        <v>6651</v>
      </c>
      <c r="N2554" s="132" t="s">
        <v>1112</v>
      </c>
      <c r="O2554" s="132" t="s">
        <v>6652</v>
      </c>
      <c r="P2554" s="132" t="s">
        <v>6626</v>
      </c>
      <c r="Q2554" s="132">
        <v>10369</v>
      </c>
    </row>
    <row r="2555" spans="1:17" x14ac:dyDescent="0.2">
      <c r="A2555" t="s">
        <v>147</v>
      </c>
      <c r="B2555" s="141">
        <f t="shared" si="41"/>
        <v>2.64</v>
      </c>
      <c r="C2555" s="280">
        <v>45915</v>
      </c>
      <c r="D2555" s="279">
        <v>45917</v>
      </c>
      <c r="E2555" s="279">
        <v>45917</v>
      </c>
      <c r="F2555" s="132"/>
      <c r="G2555" s="132" t="s">
        <v>1108</v>
      </c>
      <c r="H2555" s="132" t="s">
        <v>373</v>
      </c>
      <c r="I2555" s="132" t="s">
        <v>1100</v>
      </c>
      <c r="J2555" s="132" t="s">
        <v>3022</v>
      </c>
      <c r="K2555" s="132" t="s">
        <v>3023</v>
      </c>
      <c r="L2555" s="132" t="s">
        <v>3024</v>
      </c>
      <c r="M2555" s="132" t="s">
        <v>6653</v>
      </c>
      <c r="N2555" s="132" t="s">
        <v>1117</v>
      </c>
      <c r="O2555" s="132" t="s">
        <v>6654</v>
      </c>
      <c r="P2555" s="132" t="s">
        <v>6626</v>
      </c>
      <c r="Q2555" s="132" t="s">
        <v>1108</v>
      </c>
    </row>
    <row r="2556" spans="1:17" x14ac:dyDescent="0.2">
      <c r="A2556" t="s">
        <v>147</v>
      </c>
      <c r="B2556" s="141">
        <f t="shared" si="41"/>
        <v>2.62</v>
      </c>
      <c r="C2556" s="280">
        <v>45915</v>
      </c>
      <c r="D2556" s="279">
        <v>45917</v>
      </c>
      <c r="E2556" s="279">
        <v>45917</v>
      </c>
      <c r="F2556" s="132"/>
      <c r="G2556" s="132" t="s">
        <v>1108</v>
      </c>
      <c r="H2556" s="132" t="s">
        <v>373</v>
      </c>
      <c r="I2556" s="132" t="s">
        <v>1100</v>
      </c>
      <c r="J2556" s="132" t="s">
        <v>3022</v>
      </c>
      <c r="K2556" s="132" t="s">
        <v>1742</v>
      </c>
      <c r="L2556" s="132" t="s">
        <v>3029</v>
      </c>
      <c r="M2556" s="132" t="s">
        <v>6655</v>
      </c>
      <c r="N2556" s="132" t="s">
        <v>1112</v>
      </c>
      <c r="O2556" s="132" t="s">
        <v>6656</v>
      </c>
      <c r="P2556" s="132" t="s">
        <v>6626</v>
      </c>
      <c r="Q2556" s="132" t="s">
        <v>1108</v>
      </c>
    </row>
    <row r="2557" spans="1:17" x14ac:dyDescent="0.2">
      <c r="A2557" t="s">
        <v>147</v>
      </c>
      <c r="B2557" s="141">
        <f t="shared" si="41"/>
        <v>2.62</v>
      </c>
      <c r="C2557" s="280">
        <v>45915</v>
      </c>
      <c r="D2557" s="279">
        <v>45917</v>
      </c>
      <c r="E2557" s="279">
        <v>45917</v>
      </c>
      <c r="F2557" s="132"/>
      <c r="G2557" s="132" t="s">
        <v>1108</v>
      </c>
      <c r="H2557" s="132" t="s">
        <v>373</v>
      </c>
      <c r="I2557" s="132" t="s">
        <v>1100</v>
      </c>
      <c r="J2557" s="132" t="s">
        <v>3022</v>
      </c>
      <c r="K2557" s="132" t="s">
        <v>1742</v>
      </c>
      <c r="L2557" s="132" t="s">
        <v>3029</v>
      </c>
      <c r="M2557" s="132" t="s">
        <v>6657</v>
      </c>
      <c r="N2557" s="132" t="s">
        <v>1112</v>
      </c>
      <c r="O2557" s="132" t="s">
        <v>6658</v>
      </c>
      <c r="P2557" s="132" t="s">
        <v>6626</v>
      </c>
      <c r="Q2557" s="132" t="s">
        <v>1108</v>
      </c>
    </row>
    <row r="2558" spans="1:17" x14ac:dyDescent="0.2">
      <c r="A2558" t="s">
        <v>147</v>
      </c>
      <c r="B2558" s="141">
        <f t="shared" si="41"/>
        <v>2.62</v>
      </c>
      <c r="C2558" s="280">
        <v>45915</v>
      </c>
      <c r="D2558" s="279">
        <v>45917</v>
      </c>
      <c r="E2558" s="279">
        <v>45917</v>
      </c>
      <c r="F2558" s="132"/>
      <c r="G2558" s="132" t="s">
        <v>1108</v>
      </c>
      <c r="H2558" s="132" t="s">
        <v>373</v>
      </c>
      <c r="I2558" s="132" t="s">
        <v>1100</v>
      </c>
      <c r="J2558" s="132" t="s">
        <v>3022</v>
      </c>
      <c r="K2558" s="132" t="s">
        <v>1742</v>
      </c>
      <c r="L2558" s="132" t="s">
        <v>3029</v>
      </c>
      <c r="M2558" s="132" t="s">
        <v>6659</v>
      </c>
      <c r="N2558" s="132" t="s">
        <v>1112</v>
      </c>
      <c r="O2558" s="132" t="s">
        <v>6660</v>
      </c>
      <c r="P2558" s="132" t="s">
        <v>6626</v>
      </c>
      <c r="Q2558" s="132" t="s">
        <v>1108</v>
      </c>
    </row>
    <row r="2559" spans="1:17" x14ac:dyDescent="0.2">
      <c r="A2559" t="s">
        <v>147</v>
      </c>
      <c r="B2559" s="141">
        <f t="shared" si="41"/>
        <v>2.64</v>
      </c>
      <c r="C2559" s="280">
        <v>45915</v>
      </c>
      <c r="D2559" s="279">
        <v>45917</v>
      </c>
      <c r="E2559" s="279">
        <v>45917</v>
      </c>
      <c r="F2559" s="132"/>
      <c r="G2559" s="132" t="s">
        <v>1108</v>
      </c>
      <c r="H2559" s="132" t="s">
        <v>373</v>
      </c>
      <c r="I2559" s="132" t="s">
        <v>1100</v>
      </c>
      <c r="J2559" s="132" t="s">
        <v>3022</v>
      </c>
      <c r="K2559" s="132" t="s">
        <v>3023</v>
      </c>
      <c r="L2559" s="132" t="s">
        <v>3024</v>
      </c>
      <c r="M2559" s="132" t="s">
        <v>6661</v>
      </c>
      <c r="N2559" s="132" t="s">
        <v>1117</v>
      </c>
      <c r="O2559" s="132" t="s">
        <v>6662</v>
      </c>
      <c r="P2559" s="132" t="s">
        <v>6626</v>
      </c>
      <c r="Q2559" s="132" t="s">
        <v>1108</v>
      </c>
    </row>
    <row r="2560" spans="1:17" x14ac:dyDescent="0.2">
      <c r="A2560" t="s">
        <v>147</v>
      </c>
      <c r="B2560" s="141">
        <f t="shared" si="41"/>
        <v>2.64</v>
      </c>
      <c r="C2560" s="280">
        <v>45915</v>
      </c>
      <c r="D2560" s="279">
        <v>45917</v>
      </c>
      <c r="E2560" s="279">
        <v>45917</v>
      </c>
      <c r="F2560" s="132"/>
      <c r="G2560" s="132" t="s">
        <v>1665</v>
      </c>
      <c r="H2560" s="132" t="s">
        <v>373</v>
      </c>
      <c r="I2560" s="132" t="s">
        <v>1100</v>
      </c>
      <c r="J2560" s="132" t="s">
        <v>3022</v>
      </c>
      <c r="K2560" s="132" t="s">
        <v>3023</v>
      </c>
      <c r="L2560" s="132" t="s">
        <v>3024</v>
      </c>
      <c r="M2560" s="132" t="s">
        <v>6663</v>
      </c>
      <c r="N2560" s="132" t="s">
        <v>1105</v>
      </c>
      <c r="O2560" s="132" t="s">
        <v>6664</v>
      </c>
      <c r="P2560" s="132" t="s">
        <v>6626</v>
      </c>
      <c r="Q2560" s="132" t="s">
        <v>1108</v>
      </c>
    </row>
    <row r="2561" spans="1:17" x14ac:dyDescent="0.2">
      <c r="A2561" t="s">
        <v>147</v>
      </c>
      <c r="B2561" s="141">
        <f t="shared" si="41"/>
        <v>2.64</v>
      </c>
      <c r="C2561" s="280">
        <v>45915</v>
      </c>
      <c r="D2561" s="279">
        <v>45917</v>
      </c>
      <c r="E2561" s="279">
        <v>45917</v>
      </c>
      <c r="F2561" s="132"/>
      <c r="G2561" s="132" t="s">
        <v>1108</v>
      </c>
      <c r="H2561" s="132" t="s">
        <v>373</v>
      </c>
      <c r="I2561" s="132" t="s">
        <v>1100</v>
      </c>
      <c r="J2561" s="132" t="s">
        <v>3022</v>
      </c>
      <c r="K2561" s="132" t="s">
        <v>3023</v>
      </c>
      <c r="L2561" s="132" t="s">
        <v>3024</v>
      </c>
      <c r="M2561" s="132" t="s">
        <v>6665</v>
      </c>
      <c r="N2561" s="132" t="s">
        <v>1117</v>
      </c>
      <c r="O2561" s="132" t="s">
        <v>6666</v>
      </c>
      <c r="P2561" s="132" t="s">
        <v>6626</v>
      </c>
      <c r="Q2561" s="132" t="s">
        <v>1108</v>
      </c>
    </row>
    <row r="2562" spans="1:17" x14ac:dyDescent="0.2">
      <c r="A2562" t="s">
        <v>147</v>
      </c>
      <c r="B2562" s="141">
        <f t="shared" si="41"/>
        <v>2.64</v>
      </c>
      <c r="C2562" s="280">
        <v>45915</v>
      </c>
      <c r="D2562" s="279">
        <v>45917</v>
      </c>
      <c r="E2562" s="279">
        <v>45917</v>
      </c>
      <c r="F2562" s="132"/>
      <c r="G2562" s="132" t="s">
        <v>1108</v>
      </c>
      <c r="H2562" s="132" t="s">
        <v>373</v>
      </c>
      <c r="I2562" s="132" t="s">
        <v>1100</v>
      </c>
      <c r="J2562" s="132" t="s">
        <v>3022</v>
      </c>
      <c r="K2562" s="132" t="s">
        <v>3023</v>
      </c>
      <c r="L2562" s="132" t="s">
        <v>3024</v>
      </c>
      <c r="M2562" s="132" t="s">
        <v>6667</v>
      </c>
      <c r="N2562" s="132" t="s">
        <v>1117</v>
      </c>
      <c r="O2562" s="132" t="s">
        <v>6668</v>
      </c>
      <c r="P2562" s="132" t="s">
        <v>6626</v>
      </c>
      <c r="Q2562" s="132" t="s">
        <v>1108</v>
      </c>
    </row>
    <row r="2563" spans="1:17" x14ac:dyDescent="0.2">
      <c r="A2563" t="s">
        <v>147</v>
      </c>
      <c r="B2563" s="141">
        <f t="shared" si="41"/>
        <v>2.64</v>
      </c>
      <c r="C2563" s="280">
        <v>45915</v>
      </c>
      <c r="D2563" s="279">
        <v>45917</v>
      </c>
      <c r="E2563" s="279">
        <v>45917</v>
      </c>
      <c r="F2563" s="132"/>
      <c r="G2563" s="132" t="s">
        <v>1108</v>
      </c>
      <c r="H2563" s="132" t="s">
        <v>373</v>
      </c>
      <c r="I2563" s="132" t="s">
        <v>1100</v>
      </c>
      <c r="J2563" s="132" t="s">
        <v>3022</v>
      </c>
      <c r="K2563" s="132" t="s">
        <v>3023</v>
      </c>
      <c r="L2563" s="132" t="s">
        <v>3024</v>
      </c>
      <c r="M2563" s="132" t="s">
        <v>6669</v>
      </c>
      <c r="N2563" s="132" t="s">
        <v>1117</v>
      </c>
      <c r="O2563" s="132" t="s">
        <v>6670</v>
      </c>
      <c r="P2563" s="132" t="s">
        <v>6626</v>
      </c>
      <c r="Q2563" s="132" t="s">
        <v>1108</v>
      </c>
    </row>
    <row r="2564" spans="1:17" x14ac:dyDescent="0.2">
      <c r="A2564" t="s">
        <v>147</v>
      </c>
      <c r="B2564" s="141">
        <f t="shared" si="41"/>
        <v>2.64</v>
      </c>
      <c r="C2564" s="280">
        <v>45915</v>
      </c>
      <c r="D2564" s="279">
        <v>45917</v>
      </c>
      <c r="E2564" s="279">
        <v>45917</v>
      </c>
      <c r="F2564" s="132"/>
      <c r="G2564" s="132" t="s">
        <v>5305</v>
      </c>
      <c r="H2564" s="132" t="s">
        <v>373</v>
      </c>
      <c r="I2564" s="132" t="s">
        <v>1100</v>
      </c>
      <c r="J2564" s="132" t="s">
        <v>3022</v>
      </c>
      <c r="K2564" s="132" t="s">
        <v>3023</v>
      </c>
      <c r="L2564" s="132" t="s">
        <v>3024</v>
      </c>
      <c r="M2564" s="132" t="s">
        <v>6671</v>
      </c>
      <c r="N2564" s="132" t="s">
        <v>1105</v>
      </c>
      <c r="O2564" s="132" t="s">
        <v>6672</v>
      </c>
      <c r="P2564" s="132" t="s">
        <v>6626</v>
      </c>
      <c r="Q2564" s="132" t="s">
        <v>1108</v>
      </c>
    </row>
    <row r="2565" spans="1:17" x14ac:dyDescent="0.2">
      <c r="A2565" t="s">
        <v>147</v>
      </c>
      <c r="B2565" s="141">
        <f t="shared" si="41"/>
        <v>2.64</v>
      </c>
      <c r="C2565" s="280">
        <v>45915</v>
      </c>
      <c r="D2565" s="279">
        <v>45917</v>
      </c>
      <c r="E2565" s="279">
        <v>45917</v>
      </c>
      <c r="F2565" s="132"/>
      <c r="G2565" s="132" t="s">
        <v>1108</v>
      </c>
      <c r="H2565" s="132" t="s">
        <v>373</v>
      </c>
      <c r="I2565" s="132" t="s">
        <v>1100</v>
      </c>
      <c r="J2565" s="132" t="s">
        <v>3022</v>
      </c>
      <c r="K2565" s="132" t="s">
        <v>3023</v>
      </c>
      <c r="L2565" s="132" t="s">
        <v>3024</v>
      </c>
      <c r="M2565" s="132" t="s">
        <v>6673</v>
      </c>
      <c r="N2565" s="132" t="s">
        <v>1117</v>
      </c>
      <c r="O2565" s="132" t="s">
        <v>6674</v>
      </c>
      <c r="P2565" s="132" t="s">
        <v>6626</v>
      </c>
      <c r="Q2565" s="132" t="s">
        <v>1108</v>
      </c>
    </row>
    <row r="2566" spans="1:17" x14ac:dyDescent="0.2">
      <c r="A2566" t="s">
        <v>147</v>
      </c>
      <c r="B2566" s="141">
        <f t="shared" si="41"/>
        <v>2.64</v>
      </c>
      <c r="C2566" s="280">
        <v>45915</v>
      </c>
      <c r="D2566" s="279">
        <v>45917</v>
      </c>
      <c r="E2566" s="279">
        <v>45917</v>
      </c>
      <c r="F2566" s="132"/>
      <c r="G2566" s="132" t="s">
        <v>1108</v>
      </c>
      <c r="H2566" s="132" t="s">
        <v>373</v>
      </c>
      <c r="I2566" s="132" t="s">
        <v>1100</v>
      </c>
      <c r="J2566" s="132" t="s">
        <v>3022</v>
      </c>
      <c r="K2566" s="132" t="s">
        <v>3023</v>
      </c>
      <c r="L2566" s="132" t="s">
        <v>3024</v>
      </c>
      <c r="M2566" s="132" t="s">
        <v>6675</v>
      </c>
      <c r="N2566" s="132" t="s">
        <v>1117</v>
      </c>
      <c r="O2566" s="132" t="s">
        <v>6676</v>
      </c>
      <c r="P2566" s="132" t="s">
        <v>6626</v>
      </c>
      <c r="Q2566" s="132" t="s">
        <v>1108</v>
      </c>
    </row>
    <row r="2567" spans="1:17" x14ac:dyDescent="0.2">
      <c r="A2567" t="s">
        <v>147</v>
      </c>
      <c r="B2567" s="141">
        <f t="shared" si="41"/>
        <v>2.64</v>
      </c>
      <c r="C2567" s="280">
        <v>45915</v>
      </c>
      <c r="D2567" s="279">
        <v>45917</v>
      </c>
      <c r="E2567" s="279">
        <v>45917</v>
      </c>
      <c r="F2567" s="132"/>
      <c r="G2567" s="132" t="s">
        <v>4881</v>
      </c>
      <c r="H2567" s="132" t="s">
        <v>373</v>
      </c>
      <c r="I2567" s="132" t="s">
        <v>1100</v>
      </c>
      <c r="J2567" s="132" t="s">
        <v>3022</v>
      </c>
      <c r="K2567" s="132" t="s">
        <v>3023</v>
      </c>
      <c r="L2567" s="132" t="s">
        <v>3024</v>
      </c>
      <c r="M2567" s="132" t="s">
        <v>6677</v>
      </c>
      <c r="N2567" s="132" t="s">
        <v>1105</v>
      </c>
      <c r="O2567" s="132" t="s">
        <v>6678</v>
      </c>
      <c r="P2567" s="132" t="s">
        <v>6626</v>
      </c>
      <c r="Q2567" s="132" t="s">
        <v>1108</v>
      </c>
    </row>
    <row r="2568" spans="1:17" x14ac:dyDescent="0.2">
      <c r="A2568" t="s">
        <v>147</v>
      </c>
      <c r="B2568" s="141">
        <f t="shared" si="41"/>
        <v>2.62</v>
      </c>
      <c r="C2568" s="280">
        <v>45915</v>
      </c>
      <c r="D2568" s="279">
        <v>45917</v>
      </c>
      <c r="E2568" s="279">
        <v>45917</v>
      </c>
      <c r="F2568" s="132"/>
      <c r="G2568" s="132" t="s">
        <v>1108</v>
      </c>
      <c r="H2568" s="132" t="s">
        <v>373</v>
      </c>
      <c r="I2568" s="132" t="s">
        <v>1100</v>
      </c>
      <c r="J2568" s="132" t="s">
        <v>3022</v>
      </c>
      <c r="K2568" s="132" t="s">
        <v>1742</v>
      </c>
      <c r="L2568" s="132" t="s">
        <v>3029</v>
      </c>
      <c r="M2568" s="132" t="s">
        <v>6679</v>
      </c>
      <c r="N2568" s="132" t="s">
        <v>1112</v>
      </c>
      <c r="O2568" s="132" t="s">
        <v>6680</v>
      </c>
      <c r="P2568" s="132" t="s">
        <v>6626</v>
      </c>
      <c r="Q2568" s="132" t="s">
        <v>1108</v>
      </c>
    </row>
    <row r="2569" spans="1:17" x14ac:dyDescent="0.2">
      <c r="A2569" t="s">
        <v>147</v>
      </c>
      <c r="B2569" s="141">
        <f t="shared" si="41"/>
        <v>2.64</v>
      </c>
      <c r="C2569" s="280">
        <v>45915</v>
      </c>
      <c r="D2569" s="279">
        <v>45917</v>
      </c>
      <c r="E2569" s="279">
        <v>45917</v>
      </c>
      <c r="F2569" s="132"/>
      <c r="G2569" s="132" t="s">
        <v>4626</v>
      </c>
      <c r="H2569" s="132" t="s">
        <v>373</v>
      </c>
      <c r="I2569" s="132" t="s">
        <v>1100</v>
      </c>
      <c r="J2569" s="132" t="s">
        <v>3022</v>
      </c>
      <c r="K2569" s="132" t="s">
        <v>3023</v>
      </c>
      <c r="L2569" s="132" t="s">
        <v>3024</v>
      </c>
      <c r="M2569" s="132" t="s">
        <v>6681</v>
      </c>
      <c r="N2569" s="132" t="s">
        <v>1105</v>
      </c>
      <c r="O2569" s="132" t="s">
        <v>6682</v>
      </c>
      <c r="P2569" s="132" t="s">
        <v>6626</v>
      </c>
      <c r="Q2569" s="132" t="s">
        <v>1108</v>
      </c>
    </row>
    <row r="2570" spans="1:17" x14ac:dyDescent="0.2">
      <c r="A2570" t="s">
        <v>147</v>
      </c>
      <c r="B2570" s="141">
        <f t="shared" si="41"/>
        <v>2.64</v>
      </c>
      <c r="C2570" s="280">
        <v>45915</v>
      </c>
      <c r="D2570" s="279">
        <v>45917</v>
      </c>
      <c r="E2570" s="279">
        <v>45917</v>
      </c>
      <c r="F2570" s="132"/>
      <c r="G2570" s="132" t="s">
        <v>1108</v>
      </c>
      <c r="H2570" s="132" t="s">
        <v>373</v>
      </c>
      <c r="I2570" s="132" t="s">
        <v>1100</v>
      </c>
      <c r="J2570" s="132" t="s">
        <v>3022</v>
      </c>
      <c r="K2570" s="132" t="s">
        <v>3023</v>
      </c>
      <c r="L2570" s="132" t="s">
        <v>3024</v>
      </c>
      <c r="M2570" s="132" t="s">
        <v>6683</v>
      </c>
      <c r="N2570" s="132" t="s">
        <v>1117</v>
      </c>
      <c r="O2570" s="132" t="s">
        <v>6684</v>
      </c>
      <c r="P2570" s="132" t="s">
        <v>6626</v>
      </c>
      <c r="Q2570" s="132" t="s">
        <v>1108</v>
      </c>
    </row>
    <row r="2571" spans="1:17" x14ac:dyDescent="0.2">
      <c r="A2571" t="s">
        <v>147</v>
      </c>
      <c r="B2571" s="141">
        <f t="shared" si="41"/>
        <v>2.62</v>
      </c>
      <c r="C2571" s="280">
        <v>45915</v>
      </c>
      <c r="D2571" s="279">
        <v>45917</v>
      </c>
      <c r="E2571" s="279">
        <v>45917</v>
      </c>
      <c r="F2571" s="132"/>
      <c r="G2571" s="132" t="s">
        <v>1108</v>
      </c>
      <c r="H2571" s="132" t="s">
        <v>373</v>
      </c>
      <c r="I2571" s="132" t="s">
        <v>1100</v>
      </c>
      <c r="J2571" s="132" t="s">
        <v>3022</v>
      </c>
      <c r="K2571" s="132" t="s">
        <v>1742</v>
      </c>
      <c r="L2571" s="132" t="s">
        <v>3029</v>
      </c>
      <c r="M2571" s="132" t="s">
        <v>6685</v>
      </c>
      <c r="N2571" s="132" t="s">
        <v>1112</v>
      </c>
      <c r="O2571" s="132" t="s">
        <v>6686</v>
      </c>
      <c r="P2571" s="132" t="s">
        <v>6626</v>
      </c>
      <c r="Q2571" s="132" t="s">
        <v>1108</v>
      </c>
    </row>
    <row r="2572" spans="1:17" x14ac:dyDescent="0.2">
      <c r="A2572" t="s">
        <v>147</v>
      </c>
      <c r="B2572" s="141">
        <f t="shared" si="41"/>
        <v>2.64</v>
      </c>
      <c r="C2572" s="280">
        <v>45915</v>
      </c>
      <c r="D2572" s="279">
        <v>45917</v>
      </c>
      <c r="E2572" s="279">
        <v>45917</v>
      </c>
      <c r="F2572" s="132"/>
      <c r="G2572" s="132" t="s">
        <v>4675</v>
      </c>
      <c r="H2572" s="132" t="s">
        <v>373</v>
      </c>
      <c r="I2572" s="132" t="s">
        <v>1100</v>
      </c>
      <c r="J2572" s="132" t="s">
        <v>3022</v>
      </c>
      <c r="K2572" s="132" t="s">
        <v>3023</v>
      </c>
      <c r="L2572" s="132" t="s">
        <v>3024</v>
      </c>
      <c r="M2572" s="132" t="s">
        <v>6687</v>
      </c>
      <c r="N2572" s="132" t="s">
        <v>1105</v>
      </c>
      <c r="O2572" s="132" t="s">
        <v>6688</v>
      </c>
      <c r="P2572" s="132" t="s">
        <v>6626</v>
      </c>
      <c r="Q2572" s="132" t="s">
        <v>1108</v>
      </c>
    </row>
    <row r="2573" spans="1:17" x14ac:dyDescent="0.2">
      <c r="A2573" t="s">
        <v>147</v>
      </c>
      <c r="B2573" s="141">
        <f t="shared" si="41"/>
        <v>2.62</v>
      </c>
      <c r="C2573" s="280">
        <v>45915</v>
      </c>
      <c r="D2573" s="279">
        <v>45917</v>
      </c>
      <c r="E2573" s="279">
        <v>45917</v>
      </c>
      <c r="F2573" s="132"/>
      <c r="G2573" s="132" t="s">
        <v>1108</v>
      </c>
      <c r="H2573" s="132" t="s">
        <v>373</v>
      </c>
      <c r="I2573" s="132" t="s">
        <v>1100</v>
      </c>
      <c r="J2573" s="132" t="s">
        <v>3022</v>
      </c>
      <c r="K2573" s="132" t="s">
        <v>1742</v>
      </c>
      <c r="L2573" s="132" t="s">
        <v>3029</v>
      </c>
      <c r="M2573" s="132" t="s">
        <v>6689</v>
      </c>
      <c r="N2573" s="132" t="s">
        <v>1112</v>
      </c>
      <c r="O2573" s="132" t="s">
        <v>6690</v>
      </c>
      <c r="P2573" s="132" t="s">
        <v>6626</v>
      </c>
      <c r="Q2573" s="132" t="s">
        <v>1108</v>
      </c>
    </row>
    <row r="2574" spans="1:17" x14ac:dyDescent="0.2">
      <c r="A2574" t="s">
        <v>147</v>
      </c>
      <c r="B2574" s="141">
        <f t="shared" si="41"/>
        <v>2.64</v>
      </c>
      <c r="C2574" s="280">
        <v>45915</v>
      </c>
      <c r="D2574" s="279">
        <v>45917</v>
      </c>
      <c r="E2574" s="279">
        <v>45917</v>
      </c>
      <c r="F2574" s="132"/>
      <c r="G2574" s="132" t="s">
        <v>1108</v>
      </c>
      <c r="H2574" s="132" t="s">
        <v>373</v>
      </c>
      <c r="I2574" s="132" t="s">
        <v>1100</v>
      </c>
      <c r="J2574" s="132" t="s">
        <v>3022</v>
      </c>
      <c r="K2574" s="132" t="s">
        <v>3023</v>
      </c>
      <c r="L2574" s="132" t="s">
        <v>3024</v>
      </c>
      <c r="M2574" s="132" t="s">
        <v>6691</v>
      </c>
      <c r="N2574" s="132" t="s">
        <v>1117</v>
      </c>
      <c r="O2574" s="132" t="s">
        <v>6692</v>
      </c>
      <c r="P2574" s="132" t="s">
        <v>6626</v>
      </c>
      <c r="Q2574" s="132" t="s">
        <v>1108</v>
      </c>
    </row>
    <row r="2575" spans="1:17" x14ac:dyDescent="0.2">
      <c r="A2575" t="s">
        <v>147</v>
      </c>
      <c r="B2575" s="141">
        <f t="shared" si="41"/>
        <v>2.64</v>
      </c>
      <c r="C2575" s="280">
        <v>45915</v>
      </c>
      <c r="D2575" s="279">
        <v>45917</v>
      </c>
      <c r="E2575" s="279">
        <v>45917</v>
      </c>
      <c r="F2575" s="132"/>
      <c r="G2575" s="132" t="s">
        <v>1108</v>
      </c>
      <c r="H2575" s="132" t="s">
        <v>373</v>
      </c>
      <c r="I2575" s="132" t="s">
        <v>1100</v>
      </c>
      <c r="J2575" s="132" t="s">
        <v>3022</v>
      </c>
      <c r="K2575" s="132" t="s">
        <v>3023</v>
      </c>
      <c r="L2575" s="132" t="s">
        <v>3024</v>
      </c>
      <c r="M2575" s="132" t="s">
        <v>6693</v>
      </c>
      <c r="N2575" s="132" t="s">
        <v>1117</v>
      </c>
      <c r="O2575" s="132" t="s">
        <v>6694</v>
      </c>
      <c r="P2575" s="132" t="s">
        <v>6626</v>
      </c>
      <c r="Q2575" s="132" t="s">
        <v>1108</v>
      </c>
    </row>
    <row r="2576" spans="1:17" x14ac:dyDescent="0.2">
      <c r="A2576" t="s">
        <v>147</v>
      </c>
      <c r="B2576" s="141">
        <f t="shared" si="41"/>
        <v>2.64</v>
      </c>
      <c r="C2576" s="280">
        <v>45915</v>
      </c>
      <c r="D2576" s="279">
        <v>45917</v>
      </c>
      <c r="E2576" s="279">
        <v>45917</v>
      </c>
      <c r="F2576" s="132"/>
      <c r="G2576" s="132" t="s">
        <v>1108</v>
      </c>
      <c r="H2576" s="132" t="s">
        <v>373</v>
      </c>
      <c r="I2576" s="132" t="s">
        <v>1100</v>
      </c>
      <c r="J2576" s="132" t="s">
        <v>3022</v>
      </c>
      <c r="K2576" s="132" t="s">
        <v>3023</v>
      </c>
      <c r="L2576" s="132" t="s">
        <v>3024</v>
      </c>
      <c r="M2576" s="132" t="s">
        <v>6695</v>
      </c>
      <c r="N2576" s="132" t="s">
        <v>1117</v>
      </c>
      <c r="O2576" s="132" t="s">
        <v>6696</v>
      </c>
      <c r="P2576" s="132" t="s">
        <v>6626</v>
      </c>
      <c r="Q2576" s="132" t="s">
        <v>1108</v>
      </c>
    </row>
    <row r="2577" spans="1:17" x14ac:dyDescent="0.2">
      <c r="A2577" t="s">
        <v>147</v>
      </c>
      <c r="B2577" s="141">
        <f t="shared" si="41"/>
        <v>2.62</v>
      </c>
      <c r="C2577" s="280">
        <v>45915</v>
      </c>
      <c r="D2577" s="279">
        <v>45917</v>
      </c>
      <c r="E2577" s="279">
        <v>45917</v>
      </c>
      <c r="F2577" s="132"/>
      <c r="G2577" s="132" t="s">
        <v>1108</v>
      </c>
      <c r="H2577" s="132" t="s">
        <v>373</v>
      </c>
      <c r="I2577" s="132" t="s">
        <v>1100</v>
      </c>
      <c r="J2577" s="132" t="s">
        <v>3022</v>
      </c>
      <c r="K2577" s="132" t="s">
        <v>1742</v>
      </c>
      <c r="L2577" s="132" t="s">
        <v>3029</v>
      </c>
      <c r="M2577" s="132" t="s">
        <v>6697</v>
      </c>
      <c r="N2577" s="132" t="s">
        <v>1112</v>
      </c>
      <c r="O2577" s="132" t="s">
        <v>6698</v>
      </c>
      <c r="P2577" s="132" t="s">
        <v>6626</v>
      </c>
      <c r="Q2577" s="132" t="s">
        <v>1108</v>
      </c>
    </row>
    <row r="2578" spans="1:17" x14ac:dyDescent="0.2">
      <c r="A2578" t="s">
        <v>147</v>
      </c>
      <c r="B2578" s="141">
        <f t="shared" si="41"/>
        <v>2.64</v>
      </c>
      <c r="C2578" s="280">
        <v>45915</v>
      </c>
      <c r="D2578" s="279">
        <v>45917</v>
      </c>
      <c r="E2578" s="279">
        <v>45917</v>
      </c>
      <c r="F2578" s="132"/>
      <c r="G2578" s="132" t="s">
        <v>1108</v>
      </c>
      <c r="H2578" s="132" t="s">
        <v>373</v>
      </c>
      <c r="I2578" s="132" t="s">
        <v>1100</v>
      </c>
      <c r="J2578" s="132" t="s">
        <v>3022</v>
      </c>
      <c r="K2578" s="132" t="s">
        <v>3023</v>
      </c>
      <c r="L2578" s="132" t="s">
        <v>3024</v>
      </c>
      <c r="M2578" s="132" t="s">
        <v>6699</v>
      </c>
      <c r="N2578" s="132" t="s">
        <v>1117</v>
      </c>
      <c r="O2578" s="132" t="s">
        <v>6700</v>
      </c>
      <c r="P2578" s="132" t="s">
        <v>6626</v>
      </c>
      <c r="Q2578" s="132" t="s">
        <v>1108</v>
      </c>
    </row>
    <row r="2579" spans="1:17" x14ac:dyDescent="0.2">
      <c r="A2579" t="s">
        <v>147</v>
      </c>
      <c r="B2579" s="141">
        <f t="shared" si="41"/>
        <v>2.64</v>
      </c>
      <c r="C2579" s="280">
        <v>45915</v>
      </c>
      <c r="D2579" s="279">
        <v>45917</v>
      </c>
      <c r="E2579" s="279">
        <v>45917</v>
      </c>
      <c r="F2579" s="132"/>
      <c r="G2579" s="132" t="s">
        <v>1108</v>
      </c>
      <c r="H2579" s="132" t="s">
        <v>373</v>
      </c>
      <c r="I2579" s="132" t="s">
        <v>1100</v>
      </c>
      <c r="J2579" s="132" t="s">
        <v>3022</v>
      </c>
      <c r="K2579" s="132" t="s">
        <v>3023</v>
      </c>
      <c r="L2579" s="132" t="s">
        <v>3024</v>
      </c>
      <c r="M2579" s="132" t="s">
        <v>6701</v>
      </c>
      <c r="N2579" s="132" t="s">
        <v>1117</v>
      </c>
      <c r="O2579" s="132" t="s">
        <v>6702</v>
      </c>
      <c r="P2579" s="132" t="s">
        <v>6626</v>
      </c>
      <c r="Q2579" s="132" t="s">
        <v>1108</v>
      </c>
    </row>
    <row r="2580" spans="1:17" x14ac:dyDescent="0.2">
      <c r="A2580" t="s">
        <v>147</v>
      </c>
      <c r="B2580" s="141">
        <f t="shared" si="41"/>
        <v>2.64</v>
      </c>
      <c r="C2580" s="280">
        <v>45915</v>
      </c>
      <c r="D2580" s="279">
        <v>45917</v>
      </c>
      <c r="E2580" s="279">
        <v>45917</v>
      </c>
      <c r="F2580" s="132"/>
      <c r="G2580" s="132" t="s">
        <v>4667</v>
      </c>
      <c r="H2580" s="132" t="s">
        <v>373</v>
      </c>
      <c r="I2580" s="132" t="s">
        <v>1100</v>
      </c>
      <c r="J2580" s="132" t="s">
        <v>3022</v>
      </c>
      <c r="K2580" s="132" t="s">
        <v>3023</v>
      </c>
      <c r="L2580" s="132" t="s">
        <v>3024</v>
      </c>
      <c r="M2580" s="132" t="s">
        <v>6703</v>
      </c>
      <c r="N2580" s="132" t="s">
        <v>1105</v>
      </c>
      <c r="O2580" s="132" t="s">
        <v>6704</v>
      </c>
      <c r="P2580" s="132" t="s">
        <v>6626</v>
      </c>
      <c r="Q2580" s="132" t="s">
        <v>1108</v>
      </c>
    </row>
    <row r="2581" spans="1:17" x14ac:dyDescent="0.2">
      <c r="A2581" t="s">
        <v>147</v>
      </c>
      <c r="B2581" s="141">
        <f t="shared" si="41"/>
        <v>2.64</v>
      </c>
      <c r="C2581" s="280">
        <v>45915</v>
      </c>
      <c r="D2581" s="279">
        <v>45917</v>
      </c>
      <c r="E2581" s="279">
        <v>45917</v>
      </c>
      <c r="F2581" s="132"/>
      <c r="G2581" s="132" t="s">
        <v>1108</v>
      </c>
      <c r="H2581" s="132" t="s">
        <v>373</v>
      </c>
      <c r="I2581" s="132" t="s">
        <v>1100</v>
      </c>
      <c r="J2581" s="132" t="s">
        <v>3022</v>
      </c>
      <c r="K2581" s="132" t="s">
        <v>3023</v>
      </c>
      <c r="L2581" s="132" t="s">
        <v>3024</v>
      </c>
      <c r="M2581" s="132" t="s">
        <v>6705</v>
      </c>
      <c r="N2581" s="132" t="s">
        <v>1117</v>
      </c>
      <c r="O2581" s="132" t="s">
        <v>6706</v>
      </c>
      <c r="P2581" s="132" t="s">
        <v>6626</v>
      </c>
      <c r="Q2581" s="132" t="s">
        <v>1108</v>
      </c>
    </row>
    <row r="2582" spans="1:17" x14ac:dyDescent="0.2">
      <c r="A2582" t="s">
        <v>147</v>
      </c>
      <c r="B2582" s="141">
        <f t="shared" si="41"/>
        <v>2.64</v>
      </c>
      <c r="C2582" s="280">
        <v>45915</v>
      </c>
      <c r="D2582" s="279">
        <v>45917</v>
      </c>
      <c r="E2582" s="279">
        <v>45917</v>
      </c>
      <c r="F2582" s="132"/>
      <c r="G2582" s="132" t="s">
        <v>1108</v>
      </c>
      <c r="H2582" s="132" t="s">
        <v>373</v>
      </c>
      <c r="I2582" s="132" t="s">
        <v>1100</v>
      </c>
      <c r="J2582" s="132" t="s">
        <v>3022</v>
      </c>
      <c r="K2582" s="132" t="s">
        <v>3023</v>
      </c>
      <c r="L2582" s="132" t="s">
        <v>3024</v>
      </c>
      <c r="M2582" s="132" t="s">
        <v>6707</v>
      </c>
      <c r="N2582" s="132" t="s">
        <v>1117</v>
      </c>
      <c r="O2582" s="132" t="s">
        <v>6708</v>
      </c>
      <c r="P2582" s="132" t="s">
        <v>6626</v>
      </c>
      <c r="Q2582" s="132" t="s">
        <v>1108</v>
      </c>
    </row>
    <row r="2583" spans="1:17" x14ac:dyDescent="0.2">
      <c r="A2583" t="s">
        <v>147</v>
      </c>
      <c r="B2583" s="141">
        <f t="shared" si="41"/>
        <v>2.64</v>
      </c>
      <c r="C2583" s="280">
        <v>45915</v>
      </c>
      <c r="D2583" s="279">
        <v>45917</v>
      </c>
      <c r="E2583" s="279">
        <v>45917</v>
      </c>
      <c r="F2583" s="132"/>
      <c r="G2583" s="132" t="s">
        <v>1108</v>
      </c>
      <c r="H2583" s="132" t="s">
        <v>373</v>
      </c>
      <c r="I2583" s="132" t="s">
        <v>1100</v>
      </c>
      <c r="J2583" s="132" t="s">
        <v>3022</v>
      </c>
      <c r="K2583" s="132" t="s">
        <v>3023</v>
      </c>
      <c r="L2583" s="132" t="s">
        <v>3024</v>
      </c>
      <c r="M2583" s="132" t="s">
        <v>6709</v>
      </c>
      <c r="N2583" s="132" t="s">
        <v>1117</v>
      </c>
      <c r="O2583" s="132" t="s">
        <v>6710</v>
      </c>
      <c r="P2583" s="132" t="s">
        <v>6626</v>
      </c>
      <c r="Q2583" s="132" t="s">
        <v>1108</v>
      </c>
    </row>
    <row r="2584" spans="1:17" x14ac:dyDescent="0.2">
      <c r="A2584" t="s">
        <v>147</v>
      </c>
      <c r="B2584" s="141">
        <f t="shared" si="41"/>
        <v>2.62</v>
      </c>
      <c r="C2584" s="280">
        <v>45915</v>
      </c>
      <c r="D2584" s="279">
        <v>45917</v>
      </c>
      <c r="E2584" s="279">
        <v>45917</v>
      </c>
      <c r="F2584" s="132"/>
      <c r="G2584" s="132" t="s">
        <v>1108</v>
      </c>
      <c r="H2584" s="132" t="s">
        <v>373</v>
      </c>
      <c r="I2584" s="132" t="s">
        <v>1100</v>
      </c>
      <c r="J2584" s="132" t="s">
        <v>3022</v>
      </c>
      <c r="K2584" s="132" t="s">
        <v>1742</v>
      </c>
      <c r="L2584" s="132" t="s">
        <v>3029</v>
      </c>
      <c r="M2584" s="132" t="s">
        <v>6711</v>
      </c>
      <c r="N2584" s="132" t="s">
        <v>1112</v>
      </c>
      <c r="O2584" s="132" t="s">
        <v>6712</v>
      </c>
      <c r="P2584" s="132" t="s">
        <v>6626</v>
      </c>
      <c r="Q2584" s="132" t="s">
        <v>1108</v>
      </c>
    </row>
    <row r="2585" spans="1:17" x14ac:dyDescent="0.2">
      <c r="A2585" t="s">
        <v>148</v>
      </c>
      <c r="B2585" s="141">
        <f t="shared" si="41"/>
        <v>4.57</v>
      </c>
      <c r="C2585" s="280">
        <v>45915</v>
      </c>
      <c r="D2585" s="279">
        <v>45917</v>
      </c>
      <c r="E2585" s="279">
        <v>45917</v>
      </c>
      <c r="F2585" s="132"/>
      <c r="G2585" s="132" t="s">
        <v>1108</v>
      </c>
      <c r="H2585" s="132" t="s">
        <v>373</v>
      </c>
      <c r="I2585" s="132" t="s">
        <v>1100</v>
      </c>
      <c r="J2585" s="132" t="s">
        <v>2671</v>
      </c>
      <c r="K2585" s="132" t="s">
        <v>1927</v>
      </c>
      <c r="L2585" s="132" t="s">
        <v>2740</v>
      </c>
      <c r="M2585" s="132" t="s">
        <v>6713</v>
      </c>
      <c r="N2585" s="132" t="s">
        <v>1112</v>
      </c>
      <c r="O2585" s="132" t="s">
        <v>6714</v>
      </c>
      <c r="P2585" s="132" t="s">
        <v>6626</v>
      </c>
      <c r="Q2585" s="132" t="s">
        <v>1108</v>
      </c>
    </row>
    <row r="2586" spans="1:17" x14ac:dyDescent="0.2">
      <c r="A2586" t="s">
        <v>295</v>
      </c>
      <c r="B2586" s="141">
        <f t="shared" si="41"/>
        <v>14.41</v>
      </c>
      <c r="C2586" s="280">
        <v>45915</v>
      </c>
      <c r="D2586" s="279">
        <v>45917</v>
      </c>
      <c r="E2586" s="279">
        <v>45917</v>
      </c>
      <c r="F2586" s="132"/>
      <c r="G2586" s="132" t="s">
        <v>1108</v>
      </c>
      <c r="H2586" s="132" t="s">
        <v>373</v>
      </c>
      <c r="I2586" s="132" t="s">
        <v>1100</v>
      </c>
      <c r="J2586" s="132" t="s">
        <v>6650</v>
      </c>
      <c r="K2586" s="132" t="s">
        <v>6715</v>
      </c>
      <c r="L2586" s="132" t="s">
        <v>1314</v>
      </c>
      <c r="M2586" s="132" t="s">
        <v>6716</v>
      </c>
      <c r="N2586" s="132" t="s">
        <v>1117</v>
      </c>
      <c r="O2586" s="132" t="s">
        <v>6717</v>
      </c>
      <c r="P2586" s="132" t="s">
        <v>6626</v>
      </c>
      <c r="Q2586" s="132">
        <v>10368</v>
      </c>
    </row>
    <row r="2587" spans="1:17" x14ac:dyDescent="0.2">
      <c r="A2587" t="s">
        <v>147</v>
      </c>
      <c r="B2587" s="141">
        <f t="shared" si="41"/>
        <v>2.64</v>
      </c>
      <c r="C2587" s="280">
        <v>45915</v>
      </c>
      <c r="D2587" s="279">
        <v>45917</v>
      </c>
      <c r="E2587" s="279">
        <v>45917</v>
      </c>
      <c r="F2587" s="132"/>
      <c r="G2587" s="132" t="s">
        <v>1108</v>
      </c>
      <c r="H2587" s="132" t="s">
        <v>373</v>
      </c>
      <c r="I2587" s="132" t="s">
        <v>1100</v>
      </c>
      <c r="J2587" s="132" t="s">
        <v>3022</v>
      </c>
      <c r="K2587" s="132" t="s">
        <v>3023</v>
      </c>
      <c r="L2587" s="132" t="s">
        <v>3024</v>
      </c>
      <c r="M2587" s="132" t="s">
        <v>6718</v>
      </c>
      <c r="N2587" s="132" t="s">
        <v>1117</v>
      </c>
      <c r="O2587" s="132" t="s">
        <v>6719</v>
      </c>
      <c r="P2587" s="132" t="s">
        <v>6626</v>
      </c>
      <c r="Q2587" s="132" t="s">
        <v>1108</v>
      </c>
    </row>
    <row r="2588" spans="1:17" x14ac:dyDescent="0.2">
      <c r="A2588" t="s">
        <v>295</v>
      </c>
      <c r="B2588" s="141">
        <f t="shared" si="41"/>
        <v>24.22</v>
      </c>
      <c r="C2588" s="280">
        <v>45915</v>
      </c>
      <c r="D2588" s="279">
        <v>45917</v>
      </c>
      <c r="E2588" s="279">
        <v>45917</v>
      </c>
      <c r="F2588" s="132"/>
      <c r="G2588" s="132" t="s">
        <v>1108</v>
      </c>
      <c r="H2588" s="132" t="s">
        <v>373</v>
      </c>
      <c r="I2588" s="132" t="s">
        <v>1100</v>
      </c>
      <c r="J2588" s="132" t="s">
        <v>6627</v>
      </c>
      <c r="K2588" s="132" t="s">
        <v>6628</v>
      </c>
      <c r="L2588" s="132" t="s">
        <v>3459</v>
      </c>
      <c r="M2588" s="132" t="s">
        <v>6720</v>
      </c>
      <c r="N2588" s="132" t="s">
        <v>1117</v>
      </c>
      <c r="O2588" s="132" t="s">
        <v>6721</v>
      </c>
      <c r="P2588" s="132" t="s">
        <v>6626</v>
      </c>
      <c r="Q2588" s="132">
        <v>10367</v>
      </c>
    </row>
    <row r="2589" spans="1:17" x14ac:dyDescent="0.2">
      <c r="A2589" t="s">
        <v>295</v>
      </c>
      <c r="B2589" s="141">
        <f t="shared" si="41"/>
        <v>14.41</v>
      </c>
      <c r="C2589" s="280">
        <v>45915</v>
      </c>
      <c r="D2589" s="279">
        <v>45917</v>
      </c>
      <c r="E2589" s="279">
        <v>45917</v>
      </c>
      <c r="F2589" s="132"/>
      <c r="G2589" s="132" t="s">
        <v>1108</v>
      </c>
      <c r="H2589" s="132" t="s">
        <v>373</v>
      </c>
      <c r="I2589" s="132" t="s">
        <v>1100</v>
      </c>
      <c r="J2589" s="132" t="s">
        <v>6650</v>
      </c>
      <c r="K2589" s="132" t="s">
        <v>6715</v>
      </c>
      <c r="L2589" s="132" t="s">
        <v>1314</v>
      </c>
      <c r="M2589" s="132" t="s">
        <v>6722</v>
      </c>
      <c r="N2589" s="132" t="s">
        <v>1117</v>
      </c>
      <c r="O2589" s="132" t="s">
        <v>6723</v>
      </c>
      <c r="P2589" s="132" t="s">
        <v>6626</v>
      </c>
      <c r="Q2589" s="132">
        <v>10366</v>
      </c>
    </row>
    <row r="2590" spans="1:17" x14ac:dyDescent="0.2">
      <c r="A2590" t="s">
        <v>148</v>
      </c>
      <c r="B2590" s="141">
        <f t="shared" si="41"/>
        <v>4.6000000000000005</v>
      </c>
      <c r="C2590" s="280">
        <v>45915</v>
      </c>
      <c r="D2590" s="279">
        <v>45917</v>
      </c>
      <c r="E2590" s="279">
        <v>45917</v>
      </c>
      <c r="F2590" s="132"/>
      <c r="G2590" s="132" t="s">
        <v>1108</v>
      </c>
      <c r="H2590" s="132" t="s">
        <v>373</v>
      </c>
      <c r="I2590" s="132" t="s">
        <v>1100</v>
      </c>
      <c r="J2590" s="132" t="s">
        <v>2671</v>
      </c>
      <c r="K2590" s="132" t="s">
        <v>2672</v>
      </c>
      <c r="L2590" s="132" t="s">
        <v>2673</v>
      </c>
      <c r="M2590" s="132" t="s">
        <v>6724</v>
      </c>
      <c r="N2590" s="132" t="s">
        <v>1117</v>
      </c>
      <c r="O2590" s="132" t="s">
        <v>6725</v>
      </c>
      <c r="P2590" s="132" t="s">
        <v>6626</v>
      </c>
      <c r="Q2590" s="132" t="s">
        <v>1108</v>
      </c>
    </row>
    <row r="2591" spans="1:17" x14ac:dyDescent="0.2">
      <c r="A2591" t="s">
        <v>147</v>
      </c>
      <c r="B2591" s="141">
        <f t="shared" si="41"/>
        <v>2.64</v>
      </c>
      <c r="C2591" s="280">
        <v>45915</v>
      </c>
      <c r="D2591" s="279">
        <v>45917</v>
      </c>
      <c r="E2591" s="279">
        <v>45917</v>
      </c>
      <c r="F2591" s="132"/>
      <c r="G2591" s="132" t="s">
        <v>1108</v>
      </c>
      <c r="H2591" s="132" t="s">
        <v>373</v>
      </c>
      <c r="I2591" s="132" t="s">
        <v>1100</v>
      </c>
      <c r="J2591" s="132" t="s">
        <v>3022</v>
      </c>
      <c r="K2591" s="132" t="s">
        <v>3023</v>
      </c>
      <c r="L2591" s="132" t="s">
        <v>3024</v>
      </c>
      <c r="M2591" s="132" t="s">
        <v>6726</v>
      </c>
      <c r="N2591" s="132" t="s">
        <v>1117</v>
      </c>
      <c r="O2591" s="132" t="s">
        <v>6727</v>
      </c>
      <c r="P2591" s="132" t="s">
        <v>6626</v>
      </c>
      <c r="Q2591" s="132" t="s">
        <v>1108</v>
      </c>
    </row>
    <row r="2592" spans="1:17" x14ac:dyDescent="0.2">
      <c r="A2592" t="s">
        <v>147</v>
      </c>
      <c r="B2592" s="141">
        <f t="shared" si="41"/>
        <v>2.64</v>
      </c>
      <c r="C2592" s="280">
        <v>45915</v>
      </c>
      <c r="D2592" s="279">
        <v>45917</v>
      </c>
      <c r="E2592" s="279">
        <v>45917</v>
      </c>
      <c r="F2592" s="132"/>
      <c r="G2592" s="132" t="s">
        <v>1108</v>
      </c>
      <c r="H2592" s="132" t="s">
        <v>373</v>
      </c>
      <c r="I2592" s="132" t="s">
        <v>1100</v>
      </c>
      <c r="J2592" s="132" t="s">
        <v>3022</v>
      </c>
      <c r="K2592" s="132" t="s">
        <v>3023</v>
      </c>
      <c r="L2592" s="132" t="s">
        <v>3024</v>
      </c>
      <c r="M2592" s="132" t="s">
        <v>6728</v>
      </c>
      <c r="N2592" s="132" t="s">
        <v>1117</v>
      </c>
      <c r="O2592" s="132" t="s">
        <v>6729</v>
      </c>
      <c r="P2592" s="132" t="s">
        <v>6626</v>
      </c>
      <c r="Q2592" s="132" t="s">
        <v>1108</v>
      </c>
    </row>
    <row r="2593" spans="1:17" x14ac:dyDescent="0.2">
      <c r="A2593" t="s">
        <v>295</v>
      </c>
      <c r="B2593" s="141">
        <f t="shared" si="41"/>
        <v>14.32</v>
      </c>
      <c r="C2593" s="280">
        <v>45915</v>
      </c>
      <c r="D2593" s="279">
        <v>45917</v>
      </c>
      <c r="E2593" s="279">
        <v>45917</v>
      </c>
      <c r="F2593" s="132"/>
      <c r="G2593" s="132" t="s">
        <v>1108</v>
      </c>
      <c r="H2593" s="132" t="s">
        <v>373</v>
      </c>
      <c r="I2593" s="132" t="s">
        <v>1100</v>
      </c>
      <c r="J2593" s="132" t="s">
        <v>6650</v>
      </c>
      <c r="K2593" s="132" t="s">
        <v>3681</v>
      </c>
      <c r="L2593" s="132" t="s">
        <v>1190</v>
      </c>
      <c r="M2593" s="132" t="s">
        <v>6730</v>
      </c>
      <c r="N2593" s="132" t="s">
        <v>1112</v>
      </c>
      <c r="O2593" s="132" t="s">
        <v>6731</v>
      </c>
      <c r="P2593" s="132" t="s">
        <v>6626</v>
      </c>
      <c r="Q2593" s="132">
        <v>10365</v>
      </c>
    </row>
    <row r="2594" spans="1:17" x14ac:dyDescent="0.2">
      <c r="A2594" t="s">
        <v>295</v>
      </c>
      <c r="B2594" s="141">
        <f t="shared" si="41"/>
        <v>24.22</v>
      </c>
      <c r="C2594" s="280">
        <v>45915</v>
      </c>
      <c r="D2594" s="279">
        <v>45917</v>
      </c>
      <c r="E2594" s="279">
        <v>45917</v>
      </c>
      <c r="F2594" s="132"/>
      <c r="G2594" s="132" t="s">
        <v>1108</v>
      </c>
      <c r="H2594" s="132" t="s">
        <v>373</v>
      </c>
      <c r="I2594" s="132" t="s">
        <v>1100</v>
      </c>
      <c r="J2594" s="132" t="s">
        <v>6627</v>
      </c>
      <c r="K2594" s="132" t="s">
        <v>6628</v>
      </c>
      <c r="L2594" s="132" t="s">
        <v>3459</v>
      </c>
      <c r="M2594" s="132" t="s">
        <v>6732</v>
      </c>
      <c r="N2594" s="132" t="s">
        <v>1117</v>
      </c>
      <c r="O2594" s="132" t="s">
        <v>6733</v>
      </c>
      <c r="P2594" s="132" t="s">
        <v>6626</v>
      </c>
      <c r="Q2594" s="132">
        <v>10364</v>
      </c>
    </row>
    <row r="2595" spans="1:17" x14ac:dyDescent="0.2">
      <c r="A2595" t="s">
        <v>295</v>
      </c>
      <c r="B2595" s="141">
        <f t="shared" si="41"/>
        <v>24.22</v>
      </c>
      <c r="C2595" s="280">
        <v>45915</v>
      </c>
      <c r="D2595" s="279">
        <v>45917</v>
      </c>
      <c r="E2595" s="279">
        <v>45917</v>
      </c>
      <c r="F2595" s="132"/>
      <c r="G2595" s="132" t="s">
        <v>1108</v>
      </c>
      <c r="H2595" s="132" t="s">
        <v>373</v>
      </c>
      <c r="I2595" s="132" t="s">
        <v>1100</v>
      </c>
      <c r="J2595" s="132" t="s">
        <v>6627</v>
      </c>
      <c r="K2595" s="132" t="s">
        <v>6628</v>
      </c>
      <c r="L2595" s="132" t="s">
        <v>3459</v>
      </c>
      <c r="M2595" s="132" t="s">
        <v>6734</v>
      </c>
      <c r="N2595" s="132" t="s">
        <v>1117</v>
      </c>
      <c r="O2595" s="132" t="s">
        <v>6735</v>
      </c>
      <c r="P2595" s="132" t="s">
        <v>6626</v>
      </c>
      <c r="Q2595" s="132">
        <v>10363</v>
      </c>
    </row>
    <row r="2596" spans="1:17" x14ac:dyDescent="0.2">
      <c r="A2596" t="s">
        <v>148</v>
      </c>
      <c r="B2596" s="141">
        <f t="shared" si="41"/>
        <v>7.5</v>
      </c>
      <c r="C2596" s="280">
        <v>45915</v>
      </c>
      <c r="D2596" s="279">
        <v>45917</v>
      </c>
      <c r="E2596" s="279">
        <v>45917</v>
      </c>
      <c r="F2596" s="132"/>
      <c r="G2596" s="132" t="s">
        <v>1108</v>
      </c>
      <c r="H2596" s="132" t="s">
        <v>373</v>
      </c>
      <c r="I2596" s="132" t="s">
        <v>1100</v>
      </c>
      <c r="J2596" s="132" t="s">
        <v>3053</v>
      </c>
      <c r="K2596" s="132" t="s">
        <v>3056</v>
      </c>
      <c r="L2596" s="132" t="s">
        <v>3057</v>
      </c>
      <c r="M2596" s="132" t="s">
        <v>6736</v>
      </c>
      <c r="N2596" s="132" t="s">
        <v>1112</v>
      </c>
      <c r="O2596" s="132" t="s">
        <v>6737</v>
      </c>
      <c r="P2596" s="132" t="s">
        <v>6626</v>
      </c>
      <c r="Q2596" s="132" t="s">
        <v>1108</v>
      </c>
    </row>
    <row r="2597" spans="1:17" x14ac:dyDescent="0.2">
      <c r="A2597" t="s">
        <v>295</v>
      </c>
      <c r="B2597" s="141">
        <f t="shared" si="41"/>
        <v>19.2</v>
      </c>
      <c r="C2597" s="280">
        <v>45915</v>
      </c>
      <c r="D2597" s="279">
        <v>45917</v>
      </c>
      <c r="E2597" s="279">
        <v>45917</v>
      </c>
      <c r="F2597" s="132"/>
      <c r="G2597" s="132" t="s">
        <v>1108</v>
      </c>
      <c r="H2597" s="132" t="s">
        <v>373</v>
      </c>
      <c r="I2597" s="132" t="s">
        <v>1100</v>
      </c>
      <c r="J2597" s="132" t="s">
        <v>6738</v>
      </c>
      <c r="K2597" s="132" t="s">
        <v>2463</v>
      </c>
      <c r="L2597" s="132" t="s">
        <v>6739</v>
      </c>
      <c r="M2597" s="132" t="s">
        <v>6618</v>
      </c>
      <c r="N2597" s="132" t="s">
        <v>1112</v>
      </c>
      <c r="O2597" s="132" t="s">
        <v>6740</v>
      </c>
      <c r="P2597" s="132" t="s">
        <v>6626</v>
      </c>
      <c r="Q2597" s="132" t="s">
        <v>1108</v>
      </c>
    </row>
    <row r="2598" spans="1:17" x14ac:dyDescent="0.2">
      <c r="A2598" t="s">
        <v>147</v>
      </c>
      <c r="B2598" s="141">
        <f t="shared" si="41"/>
        <v>2.64</v>
      </c>
      <c r="C2598" s="280">
        <v>45915</v>
      </c>
      <c r="D2598" s="279">
        <v>45917</v>
      </c>
      <c r="E2598" s="279">
        <v>45917</v>
      </c>
      <c r="F2598" s="132"/>
      <c r="G2598" s="132" t="s">
        <v>1108</v>
      </c>
      <c r="H2598" s="132" t="s">
        <v>373</v>
      </c>
      <c r="I2598" s="132" t="s">
        <v>1100</v>
      </c>
      <c r="J2598" s="132" t="s">
        <v>3022</v>
      </c>
      <c r="K2598" s="132" t="s">
        <v>3023</v>
      </c>
      <c r="L2598" s="132" t="s">
        <v>3024</v>
      </c>
      <c r="M2598" s="132" t="s">
        <v>6741</v>
      </c>
      <c r="N2598" s="132" t="s">
        <v>1117</v>
      </c>
      <c r="O2598" s="132" t="s">
        <v>6742</v>
      </c>
      <c r="P2598" s="132" t="s">
        <v>6626</v>
      </c>
      <c r="Q2598" s="132" t="s">
        <v>1108</v>
      </c>
    </row>
    <row r="2599" spans="1:17" x14ac:dyDescent="0.2">
      <c r="A2599" t="s">
        <v>147</v>
      </c>
      <c r="B2599" s="141">
        <f t="shared" si="41"/>
        <v>2.64</v>
      </c>
      <c r="C2599" s="280">
        <v>45916</v>
      </c>
      <c r="D2599" s="279">
        <v>45917</v>
      </c>
      <c r="E2599" s="279">
        <v>45917</v>
      </c>
      <c r="F2599" s="132"/>
      <c r="G2599" s="132" t="s">
        <v>4647</v>
      </c>
      <c r="H2599" s="132" t="s">
        <v>373</v>
      </c>
      <c r="I2599" s="132" t="s">
        <v>1100</v>
      </c>
      <c r="J2599" s="132" t="s">
        <v>3022</v>
      </c>
      <c r="K2599" s="132" t="s">
        <v>3023</v>
      </c>
      <c r="L2599" s="132" t="s">
        <v>3024</v>
      </c>
      <c r="M2599" s="132" t="s">
        <v>6743</v>
      </c>
      <c r="N2599" s="132" t="s">
        <v>1105</v>
      </c>
      <c r="O2599" s="132" t="s">
        <v>6744</v>
      </c>
      <c r="P2599" s="132" t="s">
        <v>6626</v>
      </c>
      <c r="Q2599" s="132" t="s">
        <v>1108</v>
      </c>
    </row>
    <row r="2600" spans="1:17" x14ac:dyDescent="0.2">
      <c r="A2600" t="s">
        <v>147</v>
      </c>
      <c r="B2600" s="141">
        <f t="shared" si="41"/>
        <v>2.62</v>
      </c>
      <c r="C2600" s="280">
        <v>45916</v>
      </c>
      <c r="D2600" s="279">
        <v>45917</v>
      </c>
      <c r="E2600" s="279">
        <v>45917</v>
      </c>
      <c r="F2600" s="132"/>
      <c r="G2600" s="132" t="s">
        <v>1108</v>
      </c>
      <c r="H2600" s="132" t="s">
        <v>373</v>
      </c>
      <c r="I2600" s="132" t="s">
        <v>1100</v>
      </c>
      <c r="J2600" s="132" t="s">
        <v>3022</v>
      </c>
      <c r="K2600" s="132" t="s">
        <v>1742</v>
      </c>
      <c r="L2600" s="132" t="s">
        <v>3029</v>
      </c>
      <c r="M2600" s="132" t="s">
        <v>6745</v>
      </c>
      <c r="N2600" s="132" t="s">
        <v>1112</v>
      </c>
      <c r="O2600" s="132" t="s">
        <v>6746</v>
      </c>
      <c r="P2600" s="132" t="s">
        <v>6626</v>
      </c>
      <c r="Q2600" s="132" t="s">
        <v>1108</v>
      </c>
    </row>
    <row r="2601" spans="1:17" x14ac:dyDescent="0.2">
      <c r="A2601" t="s">
        <v>147</v>
      </c>
      <c r="B2601" s="141">
        <f t="shared" si="41"/>
        <v>2.62</v>
      </c>
      <c r="C2601" s="280">
        <v>45916</v>
      </c>
      <c r="D2601" s="279">
        <v>45917</v>
      </c>
      <c r="E2601" s="279">
        <v>45917</v>
      </c>
      <c r="F2601" s="132"/>
      <c r="G2601" s="132" t="s">
        <v>1108</v>
      </c>
      <c r="H2601" s="132" t="s">
        <v>373</v>
      </c>
      <c r="I2601" s="132" t="s">
        <v>1100</v>
      </c>
      <c r="J2601" s="132" t="s">
        <v>3022</v>
      </c>
      <c r="K2601" s="132" t="s">
        <v>1742</v>
      </c>
      <c r="L2601" s="132" t="s">
        <v>3029</v>
      </c>
      <c r="M2601" s="132" t="s">
        <v>6747</v>
      </c>
      <c r="N2601" s="132" t="s">
        <v>1112</v>
      </c>
      <c r="O2601" s="132" t="s">
        <v>6748</v>
      </c>
      <c r="P2601" s="132" t="s">
        <v>6626</v>
      </c>
      <c r="Q2601" s="132" t="s">
        <v>1108</v>
      </c>
    </row>
    <row r="2602" spans="1:17" x14ac:dyDescent="0.2">
      <c r="A2602" t="s">
        <v>147</v>
      </c>
      <c r="B2602" s="141">
        <f t="shared" si="41"/>
        <v>2.64</v>
      </c>
      <c r="C2602" s="280">
        <v>45916</v>
      </c>
      <c r="D2602" s="279">
        <v>45917</v>
      </c>
      <c r="E2602" s="279">
        <v>45917</v>
      </c>
      <c r="F2602" s="132"/>
      <c r="G2602" s="132" t="s">
        <v>1108</v>
      </c>
      <c r="H2602" s="132" t="s">
        <v>373</v>
      </c>
      <c r="I2602" s="132" t="s">
        <v>1100</v>
      </c>
      <c r="J2602" s="132" t="s">
        <v>3022</v>
      </c>
      <c r="K2602" s="132" t="s">
        <v>3023</v>
      </c>
      <c r="L2602" s="132" t="s">
        <v>3024</v>
      </c>
      <c r="M2602" s="132" t="s">
        <v>6749</v>
      </c>
      <c r="N2602" s="132" t="s">
        <v>1117</v>
      </c>
      <c r="O2602" s="132" t="s">
        <v>6750</v>
      </c>
      <c r="P2602" s="132" t="s">
        <v>6626</v>
      </c>
      <c r="Q2602" s="132" t="s">
        <v>1108</v>
      </c>
    </row>
    <row r="2603" spans="1:17" x14ac:dyDescent="0.2">
      <c r="A2603" t="s">
        <v>148</v>
      </c>
      <c r="B2603" s="141">
        <f t="shared" si="41"/>
        <v>4.6000000000000005</v>
      </c>
      <c r="C2603" s="280">
        <v>45916</v>
      </c>
      <c r="D2603" s="279">
        <v>45917</v>
      </c>
      <c r="E2603" s="279">
        <v>45917</v>
      </c>
      <c r="F2603" s="132"/>
      <c r="G2603" s="132" t="s">
        <v>1108</v>
      </c>
      <c r="H2603" s="132" t="s">
        <v>373</v>
      </c>
      <c r="I2603" s="132" t="s">
        <v>1100</v>
      </c>
      <c r="J2603" s="132" t="s">
        <v>2671</v>
      </c>
      <c r="K2603" s="132" t="s">
        <v>2672</v>
      </c>
      <c r="L2603" s="132" t="s">
        <v>2673</v>
      </c>
      <c r="M2603" s="132" t="s">
        <v>6751</v>
      </c>
      <c r="N2603" s="132" t="s">
        <v>1117</v>
      </c>
      <c r="O2603" s="132" t="s">
        <v>6752</v>
      </c>
      <c r="P2603" s="132" t="s">
        <v>6626</v>
      </c>
      <c r="Q2603" s="132" t="s">
        <v>1108</v>
      </c>
    </row>
    <row r="2604" spans="1:17" x14ac:dyDescent="0.2">
      <c r="A2604" t="s">
        <v>295</v>
      </c>
      <c r="B2604" s="141">
        <f t="shared" si="41"/>
        <v>19.2</v>
      </c>
      <c r="C2604" s="280">
        <v>45916</v>
      </c>
      <c r="D2604" s="279">
        <v>45918</v>
      </c>
      <c r="E2604" s="279">
        <v>45918</v>
      </c>
      <c r="F2604" s="132"/>
      <c r="G2604" s="132" t="s">
        <v>1108</v>
      </c>
      <c r="H2604" s="132" t="s">
        <v>373</v>
      </c>
      <c r="I2604" s="132" t="s">
        <v>1100</v>
      </c>
      <c r="J2604" s="132" t="s">
        <v>6638</v>
      </c>
      <c r="K2604" s="132" t="s">
        <v>3969</v>
      </c>
      <c r="L2604" s="132" t="s">
        <v>6739</v>
      </c>
      <c r="M2604" s="132" t="s">
        <v>6753</v>
      </c>
      <c r="N2604" s="132" t="s">
        <v>1112</v>
      </c>
      <c r="O2604" s="132" t="s">
        <v>6754</v>
      </c>
      <c r="P2604" s="132" t="s">
        <v>6755</v>
      </c>
      <c r="Q2604" s="132">
        <v>10373</v>
      </c>
    </row>
    <row r="2605" spans="1:17" x14ac:dyDescent="0.2">
      <c r="A2605" t="s">
        <v>147</v>
      </c>
      <c r="B2605" s="141">
        <f t="shared" si="41"/>
        <v>2.64</v>
      </c>
      <c r="C2605" s="280">
        <v>45916</v>
      </c>
      <c r="D2605" s="279">
        <v>45918</v>
      </c>
      <c r="E2605" s="279">
        <v>45918</v>
      </c>
      <c r="F2605" s="132"/>
      <c r="G2605" s="132" t="s">
        <v>1108</v>
      </c>
      <c r="H2605" s="132" t="s">
        <v>373</v>
      </c>
      <c r="I2605" s="132" t="s">
        <v>1100</v>
      </c>
      <c r="J2605" s="132" t="s">
        <v>3022</v>
      </c>
      <c r="K2605" s="132" t="s">
        <v>3023</v>
      </c>
      <c r="L2605" s="132" t="s">
        <v>3024</v>
      </c>
      <c r="M2605" s="132" t="s">
        <v>6756</v>
      </c>
      <c r="N2605" s="132" t="s">
        <v>1117</v>
      </c>
      <c r="O2605" s="132" t="s">
        <v>6757</v>
      </c>
      <c r="P2605" s="132" t="s">
        <v>6755</v>
      </c>
      <c r="Q2605" s="132" t="s">
        <v>1108</v>
      </c>
    </row>
    <row r="2606" spans="1:17" x14ac:dyDescent="0.2">
      <c r="A2606" t="s">
        <v>147</v>
      </c>
      <c r="B2606" s="141">
        <f t="shared" ref="B2606:B2669" si="42">_xlfn.NUMBERVALUE(L2606)*0.01</f>
        <v>2.62</v>
      </c>
      <c r="C2606" s="280">
        <v>45916</v>
      </c>
      <c r="D2606" s="279">
        <v>45918</v>
      </c>
      <c r="E2606" s="279">
        <v>45918</v>
      </c>
      <c r="F2606" s="132"/>
      <c r="G2606" s="132" t="s">
        <v>1108</v>
      </c>
      <c r="H2606" s="132" t="s">
        <v>373</v>
      </c>
      <c r="I2606" s="132" t="s">
        <v>1100</v>
      </c>
      <c r="J2606" s="132" t="s">
        <v>3022</v>
      </c>
      <c r="K2606" s="132" t="s">
        <v>1742</v>
      </c>
      <c r="L2606" s="132" t="s">
        <v>3029</v>
      </c>
      <c r="M2606" s="132" t="s">
        <v>6758</v>
      </c>
      <c r="N2606" s="132" t="s">
        <v>1112</v>
      </c>
      <c r="O2606" s="132" t="s">
        <v>6759</v>
      </c>
      <c r="P2606" s="132" t="s">
        <v>6755</v>
      </c>
      <c r="Q2606" s="132" t="s">
        <v>1108</v>
      </c>
    </row>
    <row r="2607" spans="1:17" x14ac:dyDescent="0.2">
      <c r="A2607" t="s">
        <v>147</v>
      </c>
      <c r="B2607" s="141">
        <f t="shared" si="42"/>
        <v>2.64</v>
      </c>
      <c r="C2607" s="280">
        <v>45916</v>
      </c>
      <c r="D2607" s="279">
        <v>45918</v>
      </c>
      <c r="E2607" s="279">
        <v>45918</v>
      </c>
      <c r="F2607" s="132"/>
      <c r="G2607" s="132" t="s">
        <v>1421</v>
      </c>
      <c r="H2607" s="132" t="s">
        <v>373</v>
      </c>
      <c r="I2607" s="132" t="s">
        <v>1100</v>
      </c>
      <c r="J2607" s="132" t="s">
        <v>3022</v>
      </c>
      <c r="K2607" s="132" t="s">
        <v>3023</v>
      </c>
      <c r="L2607" s="132" t="s">
        <v>3024</v>
      </c>
      <c r="M2607" s="132" t="s">
        <v>6760</v>
      </c>
      <c r="N2607" s="132" t="s">
        <v>1105</v>
      </c>
      <c r="O2607" s="132" t="s">
        <v>6761</v>
      </c>
      <c r="P2607" s="132" t="s">
        <v>6755</v>
      </c>
      <c r="Q2607" s="132" t="s">
        <v>1108</v>
      </c>
    </row>
    <row r="2608" spans="1:17" x14ac:dyDescent="0.2">
      <c r="A2608" t="s">
        <v>295</v>
      </c>
      <c r="B2608" s="141">
        <f t="shared" si="42"/>
        <v>34.03</v>
      </c>
      <c r="C2608" s="280">
        <v>45917</v>
      </c>
      <c r="D2608" s="279">
        <v>45919</v>
      </c>
      <c r="E2608" s="279">
        <v>45919</v>
      </c>
      <c r="F2608" s="132"/>
      <c r="G2608" s="132" t="s">
        <v>1108</v>
      </c>
      <c r="H2608" s="132" t="s">
        <v>373</v>
      </c>
      <c r="I2608" s="132" t="s">
        <v>1100</v>
      </c>
      <c r="J2608" s="132" t="s">
        <v>6762</v>
      </c>
      <c r="K2608" s="132" t="s">
        <v>3408</v>
      </c>
      <c r="L2608" s="132" t="s">
        <v>3479</v>
      </c>
      <c r="M2608" s="132" t="s">
        <v>6763</v>
      </c>
      <c r="N2608" s="132" t="s">
        <v>1117</v>
      </c>
      <c r="O2608" s="132" t="s">
        <v>6764</v>
      </c>
      <c r="P2608" s="132" t="s">
        <v>6765</v>
      </c>
      <c r="Q2608" s="132">
        <v>10399</v>
      </c>
    </row>
    <row r="2609" spans="1:17" x14ac:dyDescent="0.2">
      <c r="A2609" t="s">
        <v>295</v>
      </c>
      <c r="B2609" s="141">
        <f t="shared" si="42"/>
        <v>14.32</v>
      </c>
      <c r="C2609" s="280">
        <v>45917</v>
      </c>
      <c r="D2609" s="279">
        <v>45919</v>
      </c>
      <c r="E2609" s="279">
        <v>45919</v>
      </c>
      <c r="F2609" s="132"/>
      <c r="G2609" s="132" t="s">
        <v>1108</v>
      </c>
      <c r="H2609" s="132" t="s">
        <v>373</v>
      </c>
      <c r="I2609" s="132" t="s">
        <v>1100</v>
      </c>
      <c r="J2609" s="132" t="s">
        <v>6650</v>
      </c>
      <c r="K2609" s="132" t="s">
        <v>3681</v>
      </c>
      <c r="L2609" s="132" t="s">
        <v>1190</v>
      </c>
      <c r="M2609" s="132" t="s">
        <v>6766</v>
      </c>
      <c r="N2609" s="132" t="s">
        <v>1112</v>
      </c>
      <c r="O2609" s="132" t="s">
        <v>6767</v>
      </c>
      <c r="P2609" s="132" t="s">
        <v>6765</v>
      </c>
      <c r="Q2609" s="132">
        <v>10398</v>
      </c>
    </row>
    <row r="2610" spans="1:17" x14ac:dyDescent="0.2">
      <c r="A2610" t="s">
        <v>295</v>
      </c>
      <c r="B2610" s="141">
        <f t="shared" si="42"/>
        <v>19.2</v>
      </c>
      <c r="C2610" s="280">
        <v>45917</v>
      </c>
      <c r="D2610" s="279">
        <v>45919</v>
      </c>
      <c r="E2610" s="279">
        <v>45919</v>
      </c>
      <c r="F2610" s="132"/>
      <c r="G2610" s="132" t="s">
        <v>1108</v>
      </c>
      <c r="H2610" s="132" t="s">
        <v>373</v>
      </c>
      <c r="I2610" s="132" t="s">
        <v>1100</v>
      </c>
      <c r="J2610" s="132" t="s">
        <v>6638</v>
      </c>
      <c r="K2610" s="132" t="s">
        <v>3969</v>
      </c>
      <c r="L2610" s="132" t="s">
        <v>6739</v>
      </c>
      <c r="M2610" s="132" t="s">
        <v>6768</v>
      </c>
      <c r="N2610" s="132" t="s">
        <v>1112</v>
      </c>
      <c r="O2610" s="132" t="s">
        <v>6769</v>
      </c>
      <c r="P2610" s="132" t="s">
        <v>6765</v>
      </c>
      <c r="Q2610" s="132">
        <v>10397</v>
      </c>
    </row>
    <row r="2611" spans="1:17" x14ac:dyDescent="0.2">
      <c r="A2611" t="s">
        <v>295</v>
      </c>
      <c r="B2611" s="141">
        <f t="shared" si="42"/>
        <v>19.32</v>
      </c>
      <c r="C2611" s="280">
        <v>45917</v>
      </c>
      <c r="D2611" s="279">
        <v>45919</v>
      </c>
      <c r="E2611" s="279">
        <v>45919</v>
      </c>
      <c r="F2611" s="132"/>
      <c r="G2611" s="132" t="s">
        <v>1108</v>
      </c>
      <c r="H2611" s="132" t="s">
        <v>373</v>
      </c>
      <c r="I2611" s="132" t="s">
        <v>1100</v>
      </c>
      <c r="J2611" s="132" t="s">
        <v>6638</v>
      </c>
      <c r="K2611" s="132" t="s">
        <v>3681</v>
      </c>
      <c r="L2611" s="132" t="s">
        <v>6639</v>
      </c>
      <c r="M2611" s="132" t="s">
        <v>6770</v>
      </c>
      <c r="N2611" s="132" t="s">
        <v>1117</v>
      </c>
      <c r="O2611" s="132" t="s">
        <v>6771</v>
      </c>
      <c r="P2611" s="132" t="s">
        <v>6765</v>
      </c>
      <c r="Q2611" s="132">
        <v>10396</v>
      </c>
    </row>
    <row r="2612" spans="1:17" x14ac:dyDescent="0.2">
      <c r="A2612" t="s">
        <v>295</v>
      </c>
      <c r="B2612" s="141">
        <f t="shared" si="42"/>
        <v>14.41</v>
      </c>
      <c r="C2612" s="280">
        <v>45917</v>
      </c>
      <c r="D2612" s="279">
        <v>45919</v>
      </c>
      <c r="E2612" s="279">
        <v>45919</v>
      </c>
      <c r="F2612" s="132"/>
      <c r="G2612" s="132" t="s">
        <v>1108</v>
      </c>
      <c r="H2612" s="132" t="s">
        <v>373</v>
      </c>
      <c r="I2612" s="132" t="s">
        <v>1100</v>
      </c>
      <c r="J2612" s="132" t="s">
        <v>6650</v>
      </c>
      <c r="K2612" s="132" t="s">
        <v>6715</v>
      </c>
      <c r="L2612" s="132" t="s">
        <v>1314</v>
      </c>
      <c r="M2612" s="132" t="s">
        <v>6772</v>
      </c>
      <c r="N2612" s="132" t="s">
        <v>1117</v>
      </c>
      <c r="O2612" s="132" t="s">
        <v>6773</v>
      </c>
      <c r="P2612" s="132" t="s">
        <v>6765</v>
      </c>
      <c r="Q2612" s="132">
        <v>10395</v>
      </c>
    </row>
    <row r="2613" spans="1:17" x14ac:dyDescent="0.2">
      <c r="A2613" t="s">
        <v>295</v>
      </c>
      <c r="B2613" s="141">
        <f t="shared" si="42"/>
        <v>19.32</v>
      </c>
      <c r="C2613" s="280">
        <v>45917</v>
      </c>
      <c r="D2613" s="279">
        <v>45919</v>
      </c>
      <c r="E2613" s="279">
        <v>45919</v>
      </c>
      <c r="F2613" s="132"/>
      <c r="G2613" s="132" t="s">
        <v>1108</v>
      </c>
      <c r="H2613" s="132" t="s">
        <v>373</v>
      </c>
      <c r="I2613" s="132" t="s">
        <v>1100</v>
      </c>
      <c r="J2613" s="132" t="s">
        <v>6638</v>
      </c>
      <c r="K2613" s="132" t="s">
        <v>3681</v>
      </c>
      <c r="L2613" s="132" t="s">
        <v>6639</v>
      </c>
      <c r="M2613" s="132" t="s">
        <v>6774</v>
      </c>
      <c r="N2613" s="132" t="s">
        <v>1117</v>
      </c>
      <c r="O2613" s="132" t="s">
        <v>6775</v>
      </c>
      <c r="P2613" s="132" t="s">
        <v>6765</v>
      </c>
      <c r="Q2613" s="132">
        <v>10394</v>
      </c>
    </row>
    <row r="2614" spans="1:17" x14ac:dyDescent="0.2">
      <c r="A2614" t="s">
        <v>295</v>
      </c>
      <c r="B2614" s="141">
        <f t="shared" si="42"/>
        <v>24.22</v>
      </c>
      <c r="C2614" s="280">
        <v>45917</v>
      </c>
      <c r="D2614" s="279">
        <v>45919</v>
      </c>
      <c r="E2614" s="279">
        <v>45919</v>
      </c>
      <c r="F2614" s="132"/>
      <c r="G2614" s="132" t="s">
        <v>1108</v>
      </c>
      <c r="H2614" s="132" t="s">
        <v>373</v>
      </c>
      <c r="I2614" s="132" t="s">
        <v>1100</v>
      </c>
      <c r="J2614" s="132" t="s">
        <v>6627</v>
      </c>
      <c r="K2614" s="132" t="s">
        <v>6628</v>
      </c>
      <c r="L2614" s="132" t="s">
        <v>3459</v>
      </c>
      <c r="M2614" s="132" t="s">
        <v>6776</v>
      </c>
      <c r="N2614" s="132" t="s">
        <v>1117</v>
      </c>
      <c r="O2614" s="132" t="s">
        <v>6777</v>
      </c>
      <c r="P2614" s="132" t="s">
        <v>6765</v>
      </c>
      <c r="Q2614" s="132">
        <v>10392</v>
      </c>
    </row>
    <row r="2615" spans="1:17" x14ac:dyDescent="0.2">
      <c r="A2615" t="s">
        <v>295</v>
      </c>
      <c r="B2615" s="141">
        <f t="shared" si="42"/>
        <v>19.2</v>
      </c>
      <c r="C2615" s="280">
        <v>45917</v>
      </c>
      <c r="D2615" s="279">
        <v>45919</v>
      </c>
      <c r="E2615" s="279">
        <v>45919</v>
      </c>
      <c r="F2615" s="132"/>
      <c r="G2615" s="132" t="s">
        <v>1108</v>
      </c>
      <c r="H2615" s="132" t="s">
        <v>373</v>
      </c>
      <c r="I2615" s="132" t="s">
        <v>1100</v>
      </c>
      <c r="J2615" s="132" t="s">
        <v>6638</v>
      </c>
      <c r="K2615" s="132" t="s">
        <v>3969</v>
      </c>
      <c r="L2615" s="132" t="s">
        <v>6739</v>
      </c>
      <c r="M2615" s="281" t="s">
        <v>6778</v>
      </c>
      <c r="N2615" s="132" t="s">
        <v>1112</v>
      </c>
      <c r="O2615" s="132" t="s">
        <v>6779</v>
      </c>
      <c r="P2615" s="132" t="s">
        <v>6765</v>
      </c>
      <c r="Q2615" s="132">
        <v>10393</v>
      </c>
    </row>
    <row r="2616" spans="1:17" x14ac:dyDescent="0.2">
      <c r="A2616" t="s">
        <v>295</v>
      </c>
      <c r="B2616" s="141">
        <f t="shared" si="42"/>
        <v>14.41</v>
      </c>
      <c r="C2616" s="280">
        <v>45917</v>
      </c>
      <c r="D2616" s="279">
        <v>45919</v>
      </c>
      <c r="E2616" s="279">
        <v>45919</v>
      </c>
      <c r="F2616" s="132"/>
      <c r="G2616" s="132" t="s">
        <v>1108</v>
      </c>
      <c r="H2616" s="132" t="s">
        <v>373</v>
      </c>
      <c r="I2616" s="132" t="s">
        <v>1100</v>
      </c>
      <c r="J2616" s="132" t="s">
        <v>6650</v>
      </c>
      <c r="K2616" s="132" t="s">
        <v>6715</v>
      </c>
      <c r="L2616" s="132" t="s">
        <v>1314</v>
      </c>
      <c r="M2616" s="132" t="s">
        <v>6780</v>
      </c>
      <c r="N2616" s="132" t="s">
        <v>4957</v>
      </c>
      <c r="O2616" s="132" t="s">
        <v>6781</v>
      </c>
      <c r="P2616" s="132" t="s">
        <v>6765</v>
      </c>
      <c r="Q2616" s="132">
        <v>10391</v>
      </c>
    </row>
    <row r="2617" spans="1:17" x14ac:dyDescent="0.2">
      <c r="A2617" t="s">
        <v>295</v>
      </c>
      <c r="B2617" s="141">
        <f t="shared" si="42"/>
        <v>29.13</v>
      </c>
      <c r="C2617" s="280">
        <v>45917</v>
      </c>
      <c r="D2617" s="279">
        <v>45919</v>
      </c>
      <c r="E2617" s="279">
        <v>45919</v>
      </c>
      <c r="F2617" s="132"/>
      <c r="G2617" s="132" t="s">
        <v>4699</v>
      </c>
      <c r="H2617" s="132" t="s">
        <v>373</v>
      </c>
      <c r="I2617" s="132" t="s">
        <v>1100</v>
      </c>
      <c r="J2617" s="132" t="s">
        <v>6782</v>
      </c>
      <c r="K2617" s="132" t="s">
        <v>4557</v>
      </c>
      <c r="L2617" s="132" t="s">
        <v>6783</v>
      </c>
      <c r="M2617" s="132" t="s">
        <v>6784</v>
      </c>
      <c r="N2617" s="132" t="s">
        <v>1105</v>
      </c>
      <c r="O2617" s="132" t="s">
        <v>6785</v>
      </c>
      <c r="P2617" s="132" t="s">
        <v>6765</v>
      </c>
      <c r="Q2617" s="132">
        <v>10390</v>
      </c>
    </row>
    <row r="2618" spans="1:17" x14ac:dyDescent="0.2">
      <c r="A2618" t="s">
        <v>295</v>
      </c>
      <c r="B2618" s="141">
        <f t="shared" si="42"/>
        <v>19.2</v>
      </c>
      <c r="C2618" s="280">
        <v>45917</v>
      </c>
      <c r="D2618" s="279">
        <v>45919</v>
      </c>
      <c r="E2618" s="279">
        <v>45919</v>
      </c>
      <c r="F2618" s="132"/>
      <c r="G2618" s="132" t="s">
        <v>1108</v>
      </c>
      <c r="H2618" s="132" t="s">
        <v>373</v>
      </c>
      <c r="I2618" s="132" t="s">
        <v>1100</v>
      </c>
      <c r="J2618" s="132" t="s">
        <v>6638</v>
      </c>
      <c r="K2618" s="132" t="s">
        <v>3969</v>
      </c>
      <c r="L2618" s="132" t="s">
        <v>6739</v>
      </c>
      <c r="M2618" s="132" t="s">
        <v>6786</v>
      </c>
      <c r="N2618" s="132" t="s">
        <v>1112</v>
      </c>
      <c r="O2618" s="132" t="s">
        <v>6787</v>
      </c>
      <c r="P2618" s="132" t="s">
        <v>6765</v>
      </c>
      <c r="Q2618" s="132">
        <v>10389</v>
      </c>
    </row>
    <row r="2619" spans="1:17" x14ac:dyDescent="0.2">
      <c r="A2619" t="s">
        <v>295</v>
      </c>
      <c r="B2619" s="141">
        <f t="shared" si="42"/>
        <v>19.32</v>
      </c>
      <c r="C2619" s="280">
        <v>45917</v>
      </c>
      <c r="D2619" s="279">
        <v>45919</v>
      </c>
      <c r="E2619" s="279">
        <v>45919</v>
      </c>
      <c r="F2619" s="132"/>
      <c r="G2619" s="132" t="s">
        <v>5676</v>
      </c>
      <c r="H2619" s="132" t="s">
        <v>373</v>
      </c>
      <c r="I2619" s="132" t="s">
        <v>1100</v>
      </c>
      <c r="J2619" s="132" t="s">
        <v>6638</v>
      </c>
      <c r="K2619" s="132" t="s">
        <v>3681</v>
      </c>
      <c r="L2619" s="132" t="s">
        <v>6639</v>
      </c>
      <c r="M2619" s="132" t="s">
        <v>6788</v>
      </c>
      <c r="N2619" s="132" t="s">
        <v>1105</v>
      </c>
      <c r="O2619" s="132" t="s">
        <v>6789</v>
      </c>
      <c r="P2619" s="132" t="s">
        <v>6765</v>
      </c>
      <c r="Q2619" s="132">
        <v>10388</v>
      </c>
    </row>
    <row r="2620" spans="1:17" x14ac:dyDescent="0.2">
      <c r="A2620" t="s">
        <v>295</v>
      </c>
      <c r="B2620" s="141">
        <f t="shared" si="42"/>
        <v>14.32</v>
      </c>
      <c r="C2620" s="280">
        <v>45917</v>
      </c>
      <c r="D2620" s="279">
        <v>45919</v>
      </c>
      <c r="E2620" s="279">
        <v>45919</v>
      </c>
      <c r="F2620" s="132"/>
      <c r="G2620" s="132" t="s">
        <v>1108</v>
      </c>
      <c r="H2620" s="132" t="s">
        <v>373</v>
      </c>
      <c r="I2620" s="132" t="s">
        <v>1100</v>
      </c>
      <c r="J2620" s="132" t="s">
        <v>6650</v>
      </c>
      <c r="K2620" s="132" t="s">
        <v>3681</v>
      </c>
      <c r="L2620" s="132" t="s">
        <v>1190</v>
      </c>
      <c r="M2620" s="132" t="s">
        <v>6790</v>
      </c>
      <c r="N2620" s="132" t="s">
        <v>1112</v>
      </c>
      <c r="O2620" s="132" t="s">
        <v>6791</v>
      </c>
      <c r="P2620" s="132" t="s">
        <v>6765</v>
      </c>
      <c r="Q2620" s="132">
        <v>10387</v>
      </c>
    </row>
    <row r="2621" spans="1:17" x14ac:dyDescent="0.2">
      <c r="A2621" t="s">
        <v>295</v>
      </c>
      <c r="B2621" s="141">
        <f t="shared" si="42"/>
        <v>24.22</v>
      </c>
      <c r="C2621" s="280">
        <v>45917</v>
      </c>
      <c r="D2621" s="279">
        <v>45919</v>
      </c>
      <c r="E2621" s="279">
        <v>45919</v>
      </c>
      <c r="F2621" s="132"/>
      <c r="G2621" s="132" t="s">
        <v>1108</v>
      </c>
      <c r="H2621" s="132" t="s">
        <v>373</v>
      </c>
      <c r="I2621" s="132" t="s">
        <v>1100</v>
      </c>
      <c r="J2621" s="132" t="s">
        <v>6627</v>
      </c>
      <c r="K2621" s="132" t="s">
        <v>6628</v>
      </c>
      <c r="L2621" s="132" t="s">
        <v>3459</v>
      </c>
      <c r="M2621" s="132" t="s">
        <v>6792</v>
      </c>
      <c r="N2621" s="132" t="s">
        <v>1117</v>
      </c>
      <c r="O2621" s="132" t="s">
        <v>6793</v>
      </c>
      <c r="P2621" s="132" t="s">
        <v>6765</v>
      </c>
      <c r="Q2621" s="132">
        <v>10386</v>
      </c>
    </row>
    <row r="2622" spans="1:17" x14ac:dyDescent="0.2">
      <c r="A2622" t="s">
        <v>295</v>
      </c>
      <c r="B2622" s="141">
        <f t="shared" si="42"/>
        <v>14.41</v>
      </c>
      <c r="C2622" s="280">
        <v>45917</v>
      </c>
      <c r="D2622" s="279">
        <v>45919</v>
      </c>
      <c r="E2622" s="279">
        <v>45919</v>
      </c>
      <c r="F2622" s="132"/>
      <c r="G2622" s="132" t="s">
        <v>1108</v>
      </c>
      <c r="H2622" s="132" t="s">
        <v>373</v>
      </c>
      <c r="I2622" s="132" t="s">
        <v>1100</v>
      </c>
      <c r="J2622" s="132" t="s">
        <v>6650</v>
      </c>
      <c r="K2622" s="132" t="s">
        <v>6715</v>
      </c>
      <c r="L2622" s="132" t="s">
        <v>1314</v>
      </c>
      <c r="M2622" s="132" t="s">
        <v>6794</v>
      </c>
      <c r="N2622" s="132" t="s">
        <v>1117</v>
      </c>
      <c r="O2622" s="132" t="s">
        <v>6795</v>
      </c>
      <c r="P2622" s="132" t="s">
        <v>6765</v>
      </c>
      <c r="Q2622" s="132">
        <v>10385</v>
      </c>
    </row>
    <row r="2623" spans="1:17" x14ac:dyDescent="0.2">
      <c r="A2623" t="s">
        <v>295</v>
      </c>
      <c r="B2623" s="141">
        <f t="shared" si="42"/>
        <v>24.07</v>
      </c>
      <c r="C2623" s="280">
        <v>45917</v>
      </c>
      <c r="D2623" s="279">
        <v>45919</v>
      </c>
      <c r="E2623" s="279">
        <v>45919</v>
      </c>
      <c r="F2623" s="132"/>
      <c r="G2623" s="132" t="s">
        <v>1108</v>
      </c>
      <c r="H2623" s="132" t="s">
        <v>373</v>
      </c>
      <c r="I2623" s="132" t="s">
        <v>1100</v>
      </c>
      <c r="J2623" s="132" t="s">
        <v>6627</v>
      </c>
      <c r="K2623" s="132" t="s">
        <v>6635</v>
      </c>
      <c r="L2623" s="132" t="s">
        <v>3432</v>
      </c>
      <c r="M2623" s="132" t="s">
        <v>6796</v>
      </c>
      <c r="N2623" s="132" t="s">
        <v>1112</v>
      </c>
      <c r="O2623" s="132" t="s">
        <v>6797</v>
      </c>
      <c r="P2623" s="132" t="s">
        <v>6765</v>
      </c>
      <c r="Q2623" s="132">
        <v>10384</v>
      </c>
    </row>
    <row r="2624" spans="1:17" x14ac:dyDescent="0.2">
      <c r="A2624" t="s">
        <v>295</v>
      </c>
      <c r="B2624" s="141">
        <f t="shared" si="42"/>
        <v>14.41</v>
      </c>
      <c r="C2624" s="280">
        <v>45917</v>
      </c>
      <c r="D2624" s="279">
        <v>45919</v>
      </c>
      <c r="E2624" s="279">
        <v>45919</v>
      </c>
      <c r="F2624" s="132"/>
      <c r="G2624" s="132" t="s">
        <v>1108</v>
      </c>
      <c r="H2624" s="132" t="s">
        <v>373</v>
      </c>
      <c r="I2624" s="132" t="s">
        <v>1100</v>
      </c>
      <c r="J2624" s="132" t="s">
        <v>6650</v>
      </c>
      <c r="K2624" s="132" t="s">
        <v>6715</v>
      </c>
      <c r="L2624" s="132" t="s">
        <v>1314</v>
      </c>
      <c r="M2624" s="281" t="s">
        <v>6798</v>
      </c>
      <c r="N2624" s="132" t="s">
        <v>1117</v>
      </c>
      <c r="O2624" s="132" t="s">
        <v>6799</v>
      </c>
      <c r="P2624" s="132" t="s">
        <v>6765</v>
      </c>
      <c r="Q2624" s="132">
        <v>10383</v>
      </c>
    </row>
    <row r="2625" spans="1:17" x14ac:dyDescent="0.2">
      <c r="A2625" t="s">
        <v>295</v>
      </c>
      <c r="B2625" s="141">
        <f t="shared" si="42"/>
        <v>14.32</v>
      </c>
      <c r="C2625" s="280">
        <v>45917</v>
      </c>
      <c r="D2625" s="279">
        <v>45919</v>
      </c>
      <c r="E2625" s="279">
        <v>45919</v>
      </c>
      <c r="F2625" s="132"/>
      <c r="G2625" s="132" t="s">
        <v>1108</v>
      </c>
      <c r="H2625" s="132" t="s">
        <v>373</v>
      </c>
      <c r="I2625" s="132" t="s">
        <v>1100</v>
      </c>
      <c r="J2625" s="132" t="s">
        <v>6650</v>
      </c>
      <c r="K2625" s="132" t="s">
        <v>3681</v>
      </c>
      <c r="L2625" s="132" t="s">
        <v>1190</v>
      </c>
      <c r="M2625" s="132" t="s">
        <v>6800</v>
      </c>
      <c r="N2625" s="132" t="s">
        <v>1112</v>
      </c>
      <c r="O2625" s="132" t="s">
        <v>6801</v>
      </c>
      <c r="P2625" s="132" t="s">
        <v>6765</v>
      </c>
      <c r="Q2625" s="132">
        <v>10382</v>
      </c>
    </row>
    <row r="2626" spans="1:17" x14ac:dyDescent="0.2">
      <c r="A2626" t="s">
        <v>295</v>
      </c>
      <c r="B2626" s="141">
        <f t="shared" si="42"/>
        <v>19.2</v>
      </c>
      <c r="C2626" s="280">
        <v>45917</v>
      </c>
      <c r="D2626" s="279">
        <v>45919</v>
      </c>
      <c r="E2626" s="279">
        <v>45919</v>
      </c>
      <c r="F2626" s="132"/>
      <c r="G2626" s="132" t="s">
        <v>1108</v>
      </c>
      <c r="H2626" s="132" t="s">
        <v>373</v>
      </c>
      <c r="I2626" s="132" t="s">
        <v>1100</v>
      </c>
      <c r="J2626" s="132" t="s">
        <v>6638</v>
      </c>
      <c r="K2626" s="132" t="s">
        <v>3969</v>
      </c>
      <c r="L2626" s="132" t="s">
        <v>6739</v>
      </c>
      <c r="M2626" s="132" t="s">
        <v>6802</v>
      </c>
      <c r="N2626" s="132" t="s">
        <v>1112</v>
      </c>
      <c r="O2626" s="132" t="s">
        <v>6803</v>
      </c>
      <c r="P2626" s="132" t="s">
        <v>6765</v>
      </c>
      <c r="Q2626" s="132">
        <v>10381</v>
      </c>
    </row>
    <row r="2627" spans="1:17" x14ac:dyDescent="0.2">
      <c r="A2627" t="s">
        <v>295</v>
      </c>
      <c r="B2627" s="141">
        <f t="shared" si="42"/>
        <v>19.32</v>
      </c>
      <c r="C2627" s="280">
        <v>45917</v>
      </c>
      <c r="D2627" s="279">
        <v>45919</v>
      </c>
      <c r="E2627" s="279">
        <v>45919</v>
      </c>
      <c r="F2627" s="132"/>
      <c r="G2627" s="132" t="s">
        <v>1108</v>
      </c>
      <c r="H2627" s="132" t="s">
        <v>373</v>
      </c>
      <c r="I2627" s="132" t="s">
        <v>1100</v>
      </c>
      <c r="J2627" s="132" t="s">
        <v>6638</v>
      </c>
      <c r="K2627" s="132" t="s">
        <v>3681</v>
      </c>
      <c r="L2627" s="132" t="s">
        <v>6639</v>
      </c>
      <c r="M2627" s="132" t="s">
        <v>6804</v>
      </c>
      <c r="N2627" s="132" t="s">
        <v>1117</v>
      </c>
      <c r="O2627" s="132" t="s">
        <v>6805</v>
      </c>
      <c r="P2627" s="132" t="s">
        <v>6765</v>
      </c>
      <c r="Q2627" s="132">
        <v>10380</v>
      </c>
    </row>
    <row r="2628" spans="1:17" x14ac:dyDescent="0.2">
      <c r="A2628" t="s">
        <v>295</v>
      </c>
      <c r="B2628" s="141">
        <f t="shared" si="42"/>
        <v>24.07</v>
      </c>
      <c r="C2628" s="280">
        <v>45917</v>
      </c>
      <c r="D2628" s="279">
        <v>45919</v>
      </c>
      <c r="E2628" s="279">
        <v>45919</v>
      </c>
      <c r="F2628" s="132"/>
      <c r="G2628" s="132" t="s">
        <v>1108</v>
      </c>
      <c r="H2628" s="132" t="s">
        <v>373</v>
      </c>
      <c r="I2628" s="132" t="s">
        <v>1100</v>
      </c>
      <c r="J2628" s="132" t="s">
        <v>6627</v>
      </c>
      <c r="K2628" s="132" t="s">
        <v>6635</v>
      </c>
      <c r="L2628" s="132" t="s">
        <v>3432</v>
      </c>
      <c r="M2628" s="132" t="s">
        <v>6806</v>
      </c>
      <c r="N2628" s="132" t="s">
        <v>1112</v>
      </c>
      <c r="O2628" s="132" t="s">
        <v>6807</v>
      </c>
      <c r="P2628" s="132" t="s">
        <v>6765</v>
      </c>
      <c r="Q2628" s="132">
        <v>10379</v>
      </c>
    </row>
    <row r="2629" spans="1:17" x14ac:dyDescent="0.2">
      <c r="A2629" t="s">
        <v>295</v>
      </c>
      <c r="B2629" s="141">
        <f t="shared" si="42"/>
        <v>19.32</v>
      </c>
      <c r="C2629" s="280">
        <v>45917</v>
      </c>
      <c r="D2629" s="279">
        <v>45919</v>
      </c>
      <c r="E2629" s="279">
        <v>45919</v>
      </c>
      <c r="F2629" s="132"/>
      <c r="G2629" s="132" t="s">
        <v>1108</v>
      </c>
      <c r="H2629" s="132" t="s">
        <v>373</v>
      </c>
      <c r="I2629" s="132" t="s">
        <v>1100</v>
      </c>
      <c r="J2629" s="132" t="s">
        <v>6638</v>
      </c>
      <c r="K2629" s="132" t="s">
        <v>3681</v>
      </c>
      <c r="L2629" s="132" t="s">
        <v>6639</v>
      </c>
      <c r="M2629" s="132" t="s">
        <v>6808</v>
      </c>
      <c r="N2629" s="132" t="s">
        <v>1117</v>
      </c>
      <c r="O2629" s="132" t="s">
        <v>6809</v>
      </c>
      <c r="P2629" s="132" t="s">
        <v>6765</v>
      </c>
      <c r="Q2629" s="132">
        <v>10378</v>
      </c>
    </row>
    <row r="2630" spans="1:17" x14ac:dyDescent="0.2">
      <c r="A2630" t="s">
        <v>295</v>
      </c>
      <c r="B2630" s="141">
        <f t="shared" si="42"/>
        <v>14.41</v>
      </c>
      <c r="C2630" s="280">
        <v>45917</v>
      </c>
      <c r="D2630" s="279">
        <v>45919</v>
      </c>
      <c r="E2630" s="279">
        <v>45919</v>
      </c>
      <c r="F2630" s="132"/>
      <c r="G2630" s="132" t="s">
        <v>1108</v>
      </c>
      <c r="H2630" s="132" t="s">
        <v>373</v>
      </c>
      <c r="I2630" s="132" t="s">
        <v>1100</v>
      </c>
      <c r="J2630" s="132" t="s">
        <v>6650</v>
      </c>
      <c r="K2630" s="132" t="s">
        <v>6715</v>
      </c>
      <c r="L2630" s="132" t="s">
        <v>1314</v>
      </c>
      <c r="M2630" s="132" t="s">
        <v>6810</v>
      </c>
      <c r="N2630" s="132" t="s">
        <v>1117</v>
      </c>
      <c r="O2630" s="132" t="s">
        <v>6811</v>
      </c>
      <c r="P2630" s="132" t="s">
        <v>6765</v>
      </c>
      <c r="Q2630" s="132">
        <v>10377</v>
      </c>
    </row>
    <row r="2631" spans="1:17" x14ac:dyDescent="0.2">
      <c r="A2631" t="s">
        <v>295</v>
      </c>
      <c r="B2631" s="141">
        <f t="shared" si="42"/>
        <v>24.07</v>
      </c>
      <c r="C2631" s="280">
        <v>45917</v>
      </c>
      <c r="D2631" s="279">
        <v>45919</v>
      </c>
      <c r="E2631" s="279">
        <v>45919</v>
      </c>
      <c r="F2631" s="132"/>
      <c r="G2631" s="132" t="s">
        <v>1108</v>
      </c>
      <c r="H2631" s="132" t="s">
        <v>373</v>
      </c>
      <c r="I2631" s="132" t="s">
        <v>1100</v>
      </c>
      <c r="J2631" s="132" t="s">
        <v>6627</v>
      </c>
      <c r="K2631" s="132" t="s">
        <v>6635</v>
      </c>
      <c r="L2631" s="132" t="s">
        <v>3432</v>
      </c>
      <c r="M2631" s="132" t="s">
        <v>6812</v>
      </c>
      <c r="N2631" s="132" t="s">
        <v>1112</v>
      </c>
      <c r="O2631" s="132" t="s">
        <v>6813</v>
      </c>
      <c r="P2631" s="132" t="s">
        <v>6765</v>
      </c>
      <c r="Q2631" s="132">
        <v>10376</v>
      </c>
    </row>
    <row r="2632" spans="1:17" x14ac:dyDescent="0.2">
      <c r="A2632" t="s">
        <v>295</v>
      </c>
      <c r="B2632" s="141">
        <f t="shared" si="42"/>
        <v>24.07</v>
      </c>
      <c r="C2632" s="280">
        <v>45917</v>
      </c>
      <c r="D2632" s="279">
        <v>45919</v>
      </c>
      <c r="E2632" s="279">
        <v>45919</v>
      </c>
      <c r="F2632" s="132"/>
      <c r="G2632" s="132" t="s">
        <v>1108</v>
      </c>
      <c r="H2632" s="132" t="s">
        <v>373</v>
      </c>
      <c r="I2632" s="132" t="s">
        <v>1100</v>
      </c>
      <c r="J2632" s="132" t="s">
        <v>6627</v>
      </c>
      <c r="K2632" s="132" t="s">
        <v>6635</v>
      </c>
      <c r="L2632" s="132" t="s">
        <v>3432</v>
      </c>
      <c r="M2632" s="132" t="s">
        <v>6814</v>
      </c>
      <c r="N2632" s="132" t="s">
        <v>1112</v>
      </c>
      <c r="O2632" s="132" t="s">
        <v>6815</v>
      </c>
      <c r="P2632" s="132" t="s">
        <v>6765</v>
      </c>
      <c r="Q2632" s="132">
        <v>10375</v>
      </c>
    </row>
    <row r="2633" spans="1:17" x14ac:dyDescent="0.2">
      <c r="A2633" t="s">
        <v>295</v>
      </c>
      <c r="B2633" s="141">
        <f t="shared" si="42"/>
        <v>14.32</v>
      </c>
      <c r="C2633" s="280">
        <v>45917</v>
      </c>
      <c r="D2633" s="279">
        <v>45919</v>
      </c>
      <c r="E2633" s="279">
        <v>45919</v>
      </c>
      <c r="F2633" s="132"/>
      <c r="G2633" s="132" t="s">
        <v>1108</v>
      </c>
      <c r="H2633" s="132" t="s">
        <v>373</v>
      </c>
      <c r="I2633" s="132" t="s">
        <v>1100</v>
      </c>
      <c r="J2633" s="132" t="s">
        <v>6650</v>
      </c>
      <c r="K2633" s="132" t="s">
        <v>3681</v>
      </c>
      <c r="L2633" s="132" t="s">
        <v>1190</v>
      </c>
      <c r="M2633" s="132" t="s">
        <v>6816</v>
      </c>
      <c r="N2633" s="132" t="s">
        <v>1112</v>
      </c>
      <c r="O2633" s="132" t="s">
        <v>6817</v>
      </c>
      <c r="P2633" s="132" t="s">
        <v>6765</v>
      </c>
      <c r="Q2633" s="132">
        <v>10374</v>
      </c>
    </row>
    <row r="2634" spans="1:17" x14ac:dyDescent="0.2">
      <c r="A2634" t="s">
        <v>295</v>
      </c>
      <c r="B2634" s="141">
        <f t="shared" si="42"/>
        <v>24.22</v>
      </c>
      <c r="C2634" s="280">
        <v>45918</v>
      </c>
      <c r="D2634" s="279">
        <v>45922</v>
      </c>
      <c r="E2634" s="279">
        <v>45922</v>
      </c>
      <c r="F2634" s="132"/>
      <c r="G2634" s="132" t="s">
        <v>1108</v>
      </c>
      <c r="H2634" s="132" t="s">
        <v>373</v>
      </c>
      <c r="I2634" s="132" t="s">
        <v>1100</v>
      </c>
      <c r="J2634" s="132" t="s">
        <v>6627</v>
      </c>
      <c r="K2634" s="132" t="s">
        <v>6628</v>
      </c>
      <c r="L2634" s="132" t="s">
        <v>3459</v>
      </c>
      <c r="M2634" s="132" t="s">
        <v>6818</v>
      </c>
      <c r="N2634" s="132" t="s">
        <v>1117</v>
      </c>
      <c r="O2634" s="132" t="s">
        <v>6819</v>
      </c>
      <c r="P2634" s="132" t="s">
        <v>6820</v>
      </c>
      <c r="Q2634" s="132">
        <v>10434</v>
      </c>
    </row>
    <row r="2635" spans="1:17" x14ac:dyDescent="0.2">
      <c r="A2635" t="s">
        <v>295</v>
      </c>
      <c r="B2635" s="141">
        <f t="shared" si="42"/>
        <v>19.2</v>
      </c>
      <c r="C2635" s="280">
        <v>45918</v>
      </c>
      <c r="D2635" s="279">
        <v>45922</v>
      </c>
      <c r="E2635" s="279">
        <v>45922</v>
      </c>
      <c r="F2635" s="132"/>
      <c r="G2635" s="132" t="s">
        <v>1108</v>
      </c>
      <c r="H2635" s="132" t="s">
        <v>373</v>
      </c>
      <c r="I2635" s="132" t="s">
        <v>1100</v>
      </c>
      <c r="J2635" s="132" t="s">
        <v>6638</v>
      </c>
      <c r="K2635" s="132" t="s">
        <v>3969</v>
      </c>
      <c r="L2635" s="132" t="s">
        <v>6739</v>
      </c>
      <c r="M2635" s="132" t="s">
        <v>6821</v>
      </c>
      <c r="N2635" s="132" t="s">
        <v>1112</v>
      </c>
      <c r="O2635" s="132" t="s">
        <v>6822</v>
      </c>
      <c r="P2635" s="132" t="s">
        <v>6820</v>
      </c>
      <c r="Q2635" s="132">
        <v>10433</v>
      </c>
    </row>
    <row r="2636" spans="1:17" x14ac:dyDescent="0.2">
      <c r="A2636" t="s">
        <v>295</v>
      </c>
      <c r="B2636" s="141">
        <f t="shared" si="42"/>
        <v>24.22</v>
      </c>
      <c r="C2636" s="280">
        <v>45918</v>
      </c>
      <c r="D2636" s="279">
        <v>45922</v>
      </c>
      <c r="E2636" s="279">
        <v>45922</v>
      </c>
      <c r="F2636" s="132"/>
      <c r="G2636" s="132" t="s">
        <v>4834</v>
      </c>
      <c r="H2636" s="132" t="s">
        <v>373</v>
      </c>
      <c r="I2636" s="132" t="s">
        <v>1100</v>
      </c>
      <c r="J2636" s="132" t="s">
        <v>6627</v>
      </c>
      <c r="K2636" s="132" t="s">
        <v>6628</v>
      </c>
      <c r="L2636" s="132" t="s">
        <v>3459</v>
      </c>
      <c r="M2636" s="132" t="s">
        <v>6823</v>
      </c>
      <c r="N2636" s="132" t="s">
        <v>1105</v>
      </c>
      <c r="O2636" s="132" t="s">
        <v>6824</v>
      </c>
      <c r="P2636" s="132" t="s">
        <v>6820</v>
      </c>
      <c r="Q2636" s="132">
        <v>10432</v>
      </c>
    </row>
    <row r="2637" spans="1:17" x14ac:dyDescent="0.2">
      <c r="A2637" t="s">
        <v>295</v>
      </c>
      <c r="B2637" s="141">
        <f t="shared" si="42"/>
        <v>14.41</v>
      </c>
      <c r="C2637" s="280">
        <v>45918</v>
      </c>
      <c r="D2637" s="279">
        <v>45922</v>
      </c>
      <c r="E2637" s="279">
        <v>45922</v>
      </c>
      <c r="F2637" s="132"/>
      <c r="G2637" s="132" t="s">
        <v>5558</v>
      </c>
      <c r="H2637" s="132" t="s">
        <v>373</v>
      </c>
      <c r="I2637" s="132" t="s">
        <v>1100</v>
      </c>
      <c r="J2637" s="132" t="s">
        <v>6650</v>
      </c>
      <c r="K2637" s="132" t="s">
        <v>6715</v>
      </c>
      <c r="L2637" s="132" t="s">
        <v>1314</v>
      </c>
      <c r="M2637" s="132" t="s">
        <v>6825</v>
      </c>
      <c r="N2637" s="132" t="s">
        <v>1105</v>
      </c>
      <c r="O2637" s="132" t="s">
        <v>6826</v>
      </c>
      <c r="P2637" s="132" t="s">
        <v>6820</v>
      </c>
      <c r="Q2637" s="132">
        <v>10431</v>
      </c>
    </row>
    <row r="2638" spans="1:17" x14ac:dyDescent="0.2">
      <c r="A2638" t="s">
        <v>295</v>
      </c>
      <c r="B2638" s="141">
        <f t="shared" si="42"/>
        <v>19.32</v>
      </c>
      <c r="C2638" s="280">
        <v>45918</v>
      </c>
      <c r="D2638" s="279">
        <v>45922</v>
      </c>
      <c r="E2638" s="279">
        <v>45922</v>
      </c>
      <c r="F2638" s="132"/>
      <c r="G2638" s="132" t="s">
        <v>5686</v>
      </c>
      <c r="H2638" s="132" t="s">
        <v>373</v>
      </c>
      <c r="I2638" s="132" t="s">
        <v>1100</v>
      </c>
      <c r="J2638" s="132" t="s">
        <v>6638</v>
      </c>
      <c r="K2638" s="132" t="s">
        <v>3681</v>
      </c>
      <c r="L2638" s="132" t="s">
        <v>6639</v>
      </c>
      <c r="M2638" s="132" t="s">
        <v>6827</v>
      </c>
      <c r="N2638" s="132" t="s">
        <v>1105</v>
      </c>
      <c r="O2638" s="132" t="s">
        <v>6828</v>
      </c>
      <c r="P2638" s="132" t="s">
        <v>6820</v>
      </c>
      <c r="Q2638" s="132">
        <v>10430</v>
      </c>
    </row>
    <row r="2639" spans="1:17" x14ac:dyDescent="0.2">
      <c r="A2639" t="s">
        <v>295</v>
      </c>
      <c r="B2639" s="141">
        <f t="shared" si="42"/>
        <v>14.32</v>
      </c>
      <c r="C2639" s="280">
        <v>45918</v>
      </c>
      <c r="D2639" s="279">
        <v>45922</v>
      </c>
      <c r="E2639" s="279">
        <v>45922</v>
      </c>
      <c r="F2639" s="132"/>
      <c r="G2639" s="132" t="s">
        <v>1108</v>
      </c>
      <c r="H2639" s="132" t="s">
        <v>373</v>
      </c>
      <c r="I2639" s="132" t="s">
        <v>1100</v>
      </c>
      <c r="J2639" s="132" t="s">
        <v>6650</v>
      </c>
      <c r="K2639" s="132" t="s">
        <v>3681</v>
      </c>
      <c r="L2639" s="132" t="s">
        <v>1190</v>
      </c>
      <c r="M2639" s="132" t="s">
        <v>6829</v>
      </c>
      <c r="N2639" s="132" t="s">
        <v>1112</v>
      </c>
      <c r="O2639" s="132" t="s">
        <v>6830</v>
      </c>
      <c r="P2639" s="132" t="s">
        <v>6820</v>
      </c>
      <c r="Q2639" s="132">
        <v>10429</v>
      </c>
    </row>
    <row r="2640" spans="1:17" x14ac:dyDescent="0.2">
      <c r="A2640" t="s">
        <v>295</v>
      </c>
      <c r="B2640" s="141">
        <f t="shared" si="42"/>
        <v>14.41</v>
      </c>
      <c r="C2640" s="280">
        <v>45918</v>
      </c>
      <c r="D2640" s="279">
        <v>45922</v>
      </c>
      <c r="E2640" s="279">
        <v>45922</v>
      </c>
      <c r="F2640" s="132"/>
      <c r="G2640" s="132" t="s">
        <v>1108</v>
      </c>
      <c r="H2640" s="132" t="s">
        <v>373</v>
      </c>
      <c r="I2640" s="132" t="s">
        <v>1100</v>
      </c>
      <c r="J2640" s="132" t="s">
        <v>6650</v>
      </c>
      <c r="K2640" s="132" t="s">
        <v>6715</v>
      </c>
      <c r="L2640" s="132" t="s">
        <v>1314</v>
      </c>
      <c r="M2640" s="132" t="s">
        <v>6831</v>
      </c>
      <c r="N2640" s="132" t="s">
        <v>1117</v>
      </c>
      <c r="O2640" s="132" t="s">
        <v>6832</v>
      </c>
      <c r="P2640" s="132" t="s">
        <v>6820</v>
      </c>
      <c r="Q2640" s="132">
        <v>10428</v>
      </c>
    </row>
    <row r="2641" spans="1:17" x14ac:dyDescent="0.2">
      <c r="A2641" t="s">
        <v>295</v>
      </c>
      <c r="B2641" s="141">
        <f t="shared" si="42"/>
        <v>19.32</v>
      </c>
      <c r="C2641" s="280">
        <v>45918</v>
      </c>
      <c r="D2641" s="279">
        <v>45922</v>
      </c>
      <c r="E2641" s="279">
        <v>45922</v>
      </c>
      <c r="F2641" s="132"/>
      <c r="G2641" s="132" t="s">
        <v>1108</v>
      </c>
      <c r="H2641" s="132" t="s">
        <v>373</v>
      </c>
      <c r="I2641" s="132" t="s">
        <v>1100</v>
      </c>
      <c r="J2641" s="132" t="s">
        <v>6638</v>
      </c>
      <c r="K2641" s="132" t="s">
        <v>3681</v>
      </c>
      <c r="L2641" s="132" t="s">
        <v>6639</v>
      </c>
      <c r="M2641" s="132" t="s">
        <v>6833</v>
      </c>
      <c r="N2641" s="132" t="s">
        <v>1117</v>
      </c>
      <c r="O2641" s="132" t="s">
        <v>6834</v>
      </c>
      <c r="P2641" s="132" t="s">
        <v>6820</v>
      </c>
      <c r="Q2641" s="132">
        <v>10427</v>
      </c>
    </row>
    <row r="2642" spans="1:17" x14ac:dyDescent="0.2">
      <c r="A2642" t="s">
        <v>295</v>
      </c>
      <c r="B2642" s="141">
        <f t="shared" si="42"/>
        <v>14.41</v>
      </c>
      <c r="C2642" s="280">
        <v>45918</v>
      </c>
      <c r="D2642" s="279">
        <v>45922</v>
      </c>
      <c r="E2642" s="279">
        <v>45922</v>
      </c>
      <c r="F2642" s="132"/>
      <c r="G2642" s="132" t="s">
        <v>5546</v>
      </c>
      <c r="H2642" s="132" t="s">
        <v>373</v>
      </c>
      <c r="I2642" s="132" t="s">
        <v>1100</v>
      </c>
      <c r="J2642" s="132" t="s">
        <v>6650</v>
      </c>
      <c r="K2642" s="132" t="s">
        <v>6715</v>
      </c>
      <c r="L2642" s="132" t="s">
        <v>1314</v>
      </c>
      <c r="M2642" s="132" t="s">
        <v>6835</v>
      </c>
      <c r="N2642" s="132" t="s">
        <v>1105</v>
      </c>
      <c r="O2642" s="132" t="s">
        <v>6836</v>
      </c>
      <c r="P2642" s="132" t="s">
        <v>6820</v>
      </c>
      <c r="Q2642" s="132">
        <v>10426</v>
      </c>
    </row>
    <row r="2643" spans="1:17" x14ac:dyDescent="0.2">
      <c r="A2643" t="s">
        <v>295</v>
      </c>
      <c r="B2643" s="141">
        <f t="shared" si="42"/>
        <v>14.32</v>
      </c>
      <c r="C2643" s="280">
        <v>45918</v>
      </c>
      <c r="D2643" s="279">
        <v>45922</v>
      </c>
      <c r="E2643" s="279">
        <v>45922</v>
      </c>
      <c r="F2643" s="132"/>
      <c r="G2643" s="132" t="s">
        <v>1108</v>
      </c>
      <c r="H2643" s="132" t="s">
        <v>373</v>
      </c>
      <c r="I2643" s="132" t="s">
        <v>1100</v>
      </c>
      <c r="J2643" s="132" t="s">
        <v>6650</v>
      </c>
      <c r="K2643" s="132" t="s">
        <v>3681</v>
      </c>
      <c r="L2643" s="132" t="s">
        <v>1190</v>
      </c>
      <c r="M2643" s="132" t="s">
        <v>6837</v>
      </c>
      <c r="N2643" s="132" t="s">
        <v>1112</v>
      </c>
      <c r="O2643" s="132" t="s">
        <v>6838</v>
      </c>
      <c r="P2643" s="132" t="s">
        <v>6820</v>
      </c>
      <c r="Q2643" s="132">
        <v>10425</v>
      </c>
    </row>
    <row r="2644" spans="1:17" x14ac:dyDescent="0.2">
      <c r="A2644" t="s">
        <v>295</v>
      </c>
      <c r="B2644" s="141">
        <f t="shared" si="42"/>
        <v>23.92</v>
      </c>
      <c r="C2644" s="280">
        <v>45918</v>
      </c>
      <c r="D2644" s="279">
        <v>45922</v>
      </c>
      <c r="E2644" s="279">
        <v>45922</v>
      </c>
      <c r="F2644" s="132"/>
      <c r="G2644" s="132" t="s">
        <v>1108</v>
      </c>
      <c r="H2644" s="132" t="s">
        <v>373</v>
      </c>
      <c r="I2644" s="132" t="s">
        <v>1100</v>
      </c>
      <c r="J2644" s="132" t="s">
        <v>6627</v>
      </c>
      <c r="K2644" s="132" t="s">
        <v>6839</v>
      </c>
      <c r="L2644" s="132" t="s">
        <v>6840</v>
      </c>
      <c r="M2644" s="132" t="s">
        <v>6841</v>
      </c>
      <c r="N2644" s="132" t="s">
        <v>1117</v>
      </c>
      <c r="O2644" s="132" t="s">
        <v>6842</v>
      </c>
      <c r="P2644" s="132" t="s">
        <v>6820</v>
      </c>
      <c r="Q2644" s="132">
        <v>10424</v>
      </c>
    </row>
    <row r="2645" spans="1:17" x14ac:dyDescent="0.2">
      <c r="A2645" t="s">
        <v>295</v>
      </c>
      <c r="B2645" s="141">
        <f t="shared" si="42"/>
        <v>24.07</v>
      </c>
      <c r="C2645" s="280">
        <v>45918</v>
      </c>
      <c r="D2645" s="279">
        <v>45922</v>
      </c>
      <c r="E2645" s="279">
        <v>45922</v>
      </c>
      <c r="F2645" s="132"/>
      <c r="G2645" s="132" t="s">
        <v>1108</v>
      </c>
      <c r="H2645" s="132" t="s">
        <v>373</v>
      </c>
      <c r="I2645" s="132" t="s">
        <v>1100</v>
      </c>
      <c r="J2645" s="132" t="s">
        <v>6627</v>
      </c>
      <c r="K2645" s="132" t="s">
        <v>6635</v>
      </c>
      <c r="L2645" s="132" t="s">
        <v>3432</v>
      </c>
      <c r="M2645" s="132" t="s">
        <v>6843</v>
      </c>
      <c r="N2645" s="132" t="s">
        <v>1112</v>
      </c>
      <c r="O2645" s="132" t="s">
        <v>6844</v>
      </c>
      <c r="P2645" s="132" t="s">
        <v>6820</v>
      </c>
      <c r="Q2645" s="132">
        <v>10423</v>
      </c>
    </row>
    <row r="2646" spans="1:17" x14ac:dyDescent="0.2">
      <c r="A2646" t="s">
        <v>295</v>
      </c>
      <c r="B2646" s="141">
        <f t="shared" si="42"/>
        <v>14.32</v>
      </c>
      <c r="C2646" s="280">
        <v>45918</v>
      </c>
      <c r="D2646" s="279">
        <v>45922</v>
      </c>
      <c r="E2646" s="279">
        <v>45922</v>
      </c>
      <c r="F2646" s="132"/>
      <c r="G2646" s="132" t="s">
        <v>1108</v>
      </c>
      <c r="H2646" s="132" t="s">
        <v>373</v>
      </c>
      <c r="I2646" s="132" t="s">
        <v>1100</v>
      </c>
      <c r="J2646" s="132" t="s">
        <v>6650</v>
      </c>
      <c r="K2646" s="132" t="s">
        <v>3681</v>
      </c>
      <c r="L2646" s="132" t="s">
        <v>1190</v>
      </c>
      <c r="M2646" s="132" t="s">
        <v>6845</v>
      </c>
      <c r="N2646" s="132" t="s">
        <v>1112</v>
      </c>
      <c r="O2646" s="132" t="s">
        <v>6846</v>
      </c>
      <c r="P2646" s="132" t="s">
        <v>6820</v>
      </c>
      <c r="Q2646" s="132">
        <v>10422</v>
      </c>
    </row>
    <row r="2647" spans="1:17" x14ac:dyDescent="0.2">
      <c r="A2647" t="s">
        <v>295</v>
      </c>
      <c r="B2647" s="141">
        <f t="shared" si="42"/>
        <v>19.32</v>
      </c>
      <c r="C2647" s="280">
        <v>45918</v>
      </c>
      <c r="D2647" s="279">
        <v>45922</v>
      </c>
      <c r="E2647" s="279">
        <v>45922</v>
      </c>
      <c r="F2647" s="132"/>
      <c r="G2647" s="132" t="s">
        <v>1108</v>
      </c>
      <c r="H2647" s="132" t="s">
        <v>373</v>
      </c>
      <c r="I2647" s="132" t="s">
        <v>1100</v>
      </c>
      <c r="J2647" s="132" t="s">
        <v>6638</v>
      </c>
      <c r="K2647" s="132" t="s">
        <v>3681</v>
      </c>
      <c r="L2647" s="132" t="s">
        <v>6639</v>
      </c>
      <c r="M2647" s="132" t="s">
        <v>6847</v>
      </c>
      <c r="N2647" s="132" t="s">
        <v>1117</v>
      </c>
      <c r="O2647" s="132" t="s">
        <v>6848</v>
      </c>
      <c r="P2647" s="132" t="s">
        <v>6820</v>
      </c>
      <c r="Q2647" s="132">
        <v>10421</v>
      </c>
    </row>
    <row r="2648" spans="1:17" x14ac:dyDescent="0.2">
      <c r="A2648" t="s">
        <v>295</v>
      </c>
      <c r="B2648" s="141">
        <f t="shared" si="42"/>
        <v>19.32</v>
      </c>
      <c r="C2648" s="280">
        <v>45918</v>
      </c>
      <c r="D2648" s="279">
        <v>45922</v>
      </c>
      <c r="E2648" s="279">
        <v>45922</v>
      </c>
      <c r="F2648" s="132"/>
      <c r="G2648" s="132" t="s">
        <v>6849</v>
      </c>
      <c r="H2648" s="132" t="s">
        <v>373</v>
      </c>
      <c r="I2648" s="132" t="s">
        <v>1100</v>
      </c>
      <c r="J2648" s="132" t="s">
        <v>6638</v>
      </c>
      <c r="K2648" s="132" t="s">
        <v>3681</v>
      </c>
      <c r="L2648" s="132" t="s">
        <v>6639</v>
      </c>
      <c r="M2648" s="132" t="s">
        <v>6850</v>
      </c>
      <c r="N2648" s="132" t="s">
        <v>1105</v>
      </c>
      <c r="O2648" s="132" t="s">
        <v>6851</v>
      </c>
      <c r="P2648" s="132" t="s">
        <v>6820</v>
      </c>
      <c r="Q2648" s="132">
        <v>10420</v>
      </c>
    </row>
    <row r="2649" spans="1:17" x14ac:dyDescent="0.2">
      <c r="A2649" t="s">
        <v>295</v>
      </c>
      <c r="B2649" s="141">
        <f t="shared" si="42"/>
        <v>19.2</v>
      </c>
      <c r="C2649" s="280">
        <v>45918</v>
      </c>
      <c r="D2649" s="279">
        <v>45922</v>
      </c>
      <c r="E2649" s="279">
        <v>45922</v>
      </c>
      <c r="F2649" s="132"/>
      <c r="G2649" s="132" t="s">
        <v>1108</v>
      </c>
      <c r="H2649" s="132" t="s">
        <v>373</v>
      </c>
      <c r="I2649" s="132" t="s">
        <v>1100</v>
      </c>
      <c r="J2649" s="132" t="s">
        <v>6638</v>
      </c>
      <c r="K2649" s="132" t="s">
        <v>3969</v>
      </c>
      <c r="L2649" s="132" t="s">
        <v>6739</v>
      </c>
      <c r="M2649" s="132" t="s">
        <v>6852</v>
      </c>
      <c r="N2649" s="132" t="s">
        <v>1112</v>
      </c>
      <c r="O2649" s="132" t="s">
        <v>6853</v>
      </c>
      <c r="P2649" s="132" t="s">
        <v>6820</v>
      </c>
      <c r="Q2649" s="132">
        <v>10419</v>
      </c>
    </row>
    <row r="2650" spans="1:17" x14ac:dyDescent="0.2">
      <c r="A2650" t="s">
        <v>295</v>
      </c>
      <c r="B2650" s="141">
        <f t="shared" si="42"/>
        <v>24.22</v>
      </c>
      <c r="C2650" s="280">
        <v>45918</v>
      </c>
      <c r="D2650" s="279">
        <v>45922</v>
      </c>
      <c r="E2650" s="279">
        <v>45922</v>
      </c>
      <c r="F2650" s="132"/>
      <c r="G2650" s="132" t="s">
        <v>1108</v>
      </c>
      <c r="H2650" s="132" t="s">
        <v>373</v>
      </c>
      <c r="I2650" s="132" t="s">
        <v>1100</v>
      </c>
      <c r="J2650" s="132" t="s">
        <v>6627</v>
      </c>
      <c r="K2650" s="132" t="s">
        <v>6628</v>
      </c>
      <c r="L2650" s="132" t="s">
        <v>3459</v>
      </c>
      <c r="M2650" s="132" t="s">
        <v>6854</v>
      </c>
      <c r="N2650" s="132" t="s">
        <v>1117</v>
      </c>
      <c r="O2650" s="132" t="s">
        <v>6855</v>
      </c>
      <c r="P2650" s="132" t="s">
        <v>6820</v>
      </c>
      <c r="Q2650" s="132">
        <v>10418</v>
      </c>
    </row>
    <row r="2651" spans="1:17" x14ac:dyDescent="0.2">
      <c r="A2651" t="s">
        <v>295</v>
      </c>
      <c r="B2651" s="141">
        <f t="shared" si="42"/>
        <v>24.22</v>
      </c>
      <c r="C2651" s="280">
        <v>45918</v>
      </c>
      <c r="D2651" s="279">
        <v>45922</v>
      </c>
      <c r="E2651" s="279">
        <v>45922</v>
      </c>
      <c r="F2651" s="132"/>
      <c r="G2651" s="132" t="s">
        <v>1108</v>
      </c>
      <c r="H2651" s="132" t="s">
        <v>373</v>
      </c>
      <c r="I2651" s="132" t="s">
        <v>1100</v>
      </c>
      <c r="J2651" s="132" t="s">
        <v>6627</v>
      </c>
      <c r="K2651" s="132" t="s">
        <v>6628</v>
      </c>
      <c r="L2651" s="132" t="s">
        <v>3459</v>
      </c>
      <c r="M2651" s="132" t="s">
        <v>6856</v>
      </c>
      <c r="N2651" s="132" t="s">
        <v>1117</v>
      </c>
      <c r="O2651" s="132" t="s">
        <v>6857</v>
      </c>
      <c r="P2651" s="132" t="s">
        <v>6820</v>
      </c>
      <c r="Q2651" s="132">
        <v>10417</v>
      </c>
    </row>
    <row r="2652" spans="1:17" x14ac:dyDescent="0.2">
      <c r="A2652" t="s">
        <v>295</v>
      </c>
      <c r="B2652" s="141">
        <f t="shared" si="42"/>
        <v>14.32</v>
      </c>
      <c r="C2652" s="280">
        <v>45918</v>
      </c>
      <c r="D2652" s="279">
        <v>45922</v>
      </c>
      <c r="E2652" s="279">
        <v>45922</v>
      </c>
      <c r="F2652" s="132"/>
      <c r="G2652" s="132" t="s">
        <v>1108</v>
      </c>
      <c r="H2652" s="132" t="s">
        <v>373</v>
      </c>
      <c r="I2652" s="132" t="s">
        <v>1100</v>
      </c>
      <c r="J2652" s="132" t="s">
        <v>6650</v>
      </c>
      <c r="K2652" s="132" t="s">
        <v>3681</v>
      </c>
      <c r="L2652" s="132" t="s">
        <v>1190</v>
      </c>
      <c r="M2652" s="132" t="s">
        <v>6858</v>
      </c>
      <c r="N2652" s="132" t="s">
        <v>1112</v>
      </c>
      <c r="O2652" s="132" t="s">
        <v>6859</v>
      </c>
      <c r="P2652" s="132" t="s">
        <v>6820</v>
      </c>
      <c r="Q2652" s="132">
        <v>10416</v>
      </c>
    </row>
    <row r="2653" spans="1:17" x14ac:dyDescent="0.2">
      <c r="A2653" t="s">
        <v>295</v>
      </c>
      <c r="B2653" s="141">
        <f t="shared" si="42"/>
        <v>14.41</v>
      </c>
      <c r="C2653" s="280">
        <v>45918</v>
      </c>
      <c r="D2653" s="279">
        <v>45922</v>
      </c>
      <c r="E2653" s="279">
        <v>45922</v>
      </c>
      <c r="F2653" s="132"/>
      <c r="G2653" s="132" t="s">
        <v>4824</v>
      </c>
      <c r="H2653" s="132" t="s">
        <v>373</v>
      </c>
      <c r="I2653" s="132" t="s">
        <v>1100</v>
      </c>
      <c r="J2653" s="132" t="s">
        <v>6650</v>
      </c>
      <c r="K2653" s="132" t="s">
        <v>6715</v>
      </c>
      <c r="L2653" s="132" t="s">
        <v>1314</v>
      </c>
      <c r="M2653" s="132" t="s">
        <v>6860</v>
      </c>
      <c r="N2653" s="132" t="s">
        <v>1105</v>
      </c>
      <c r="O2653" s="132" t="s">
        <v>6861</v>
      </c>
      <c r="P2653" s="132" t="s">
        <v>6820</v>
      </c>
      <c r="Q2653" s="132">
        <v>10415</v>
      </c>
    </row>
    <row r="2654" spans="1:17" x14ac:dyDescent="0.2">
      <c r="A2654" t="s">
        <v>295</v>
      </c>
      <c r="B2654" s="141">
        <f t="shared" si="42"/>
        <v>14.41</v>
      </c>
      <c r="C2654" s="280">
        <v>45918</v>
      </c>
      <c r="D2654" s="279">
        <v>45922</v>
      </c>
      <c r="E2654" s="279">
        <v>45922</v>
      </c>
      <c r="F2654" s="132"/>
      <c r="G2654" s="132" t="s">
        <v>1108</v>
      </c>
      <c r="H2654" s="132" t="s">
        <v>373</v>
      </c>
      <c r="I2654" s="132" t="s">
        <v>1100</v>
      </c>
      <c r="J2654" s="132" t="s">
        <v>6650</v>
      </c>
      <c r="K2654" s="132" t="s">
        <v>6715</v>
      </c>
      <c r="L2654" s="132" t="s">
        <v>1314</v>
      </c>
      <c r="M2654" s="132" t="s">
        <v>6862</v>
      </c>
      <c r="N2654" s="132" t="s">
        <v>1117</v>
      </c>
      <c r="O2654" s="132" t="s">
        <v>6863</v>
      </c>
      <c r="P2654" s="132" t="s">
        <v>6820</v>
      </c>
      <c r="Q2654" s="132">
        <v>10414</v>
      </c>
    </row>
    <row r="2655" spans="1:17" x14ac:dyDescent="0.2">
      <c r="A2655" t="s">
        <v>295</v>
      </c>
      <c r="B2655" s="141">
        <f t="shared" si="42"/>
        <v>24.22</v>
      </c>
      <c r="C2655" s="280">
        <v>45918</v>
      </c>
      <c r="D2655" s="279">
        <v>45922</v>
      </c>
      <c r="E2655" s="279">
        <v>45922</v>
      </c>
      <c r="F2655" s="132"/>
      <c r="G2655" s="132" t="s">
        <v>5543</v>
      </c>
      <c r="H2655" s="132" t="s">
        <v>373</v>
      </c>
      <c r="I2655" s="132" t="s">
        <v>1100</v>
      </c>
      <c r="J2655" s="132" t="s">
        <v>6627</v>
      </c>
      <c r="K2655" s="132" t="s">
        <v>6628</v>
      </c>
      <c r="L2655" s="132" t="s">
        <v>3459</v>
      </c>
      <c r="M2655" s="132" t="s">
        <v>6864</v>
      </c>
      <c r="N2655" s="132" t="s">
        <v>1105</v>
      </c>
      <c r="O2655" s="132" t="s">
        <v>6865</v>
      </c>
      <c r="P2655" s="132" t="s">
        <v>6820</v>
      </c>
      <c r="Q2655" s="132">
        <v>10413</v>
      </c>
    </row>
    <row r="2656" spans="1:17" x14ac:dyDescent="0.2">
      <c r="A2656" t="s">
        <v>295</v>
      </c>
      <c r="B2656" s="141">
        <f t="shared" si="42"/>
        <v>24.07</v>
      </c>
      <c r="C2656" s="280">
        <v>45918</v>
      </c>
      <c r="D2656" s="279">
        <v>45922</v>
      </c>
      <c r="E2656" s="279">
        <v>45922</v>
      </c>
      <c r="F2656" s="132"/>
      <c r="G2656" s="132" t="s">
        <v>1108</v>
      </c>
      <c r="H2656" s="132" t="s">
        <v>373</v>
      </c>
      <c r="I2656" s="132" t="s">
        <v>1100</v>
      </c>
      <c r="J2656" s="132" t="s">
        <v>6627</v>
      </c>
      <c r="K2656" s="132" t="s">
        <v>6635</v>
      </c>
      <c r="L2656" s="132" t="s">
        <v>3432</v>
      </c>
      <c r="M2656" s="281" t="s">
        <v>6866</v>
      </c>
      <c r="N2656" s="132" t="s">
        <v>1112</v>
      </c>
      <c r="O2656" s="132" t="s">
        <v>6867</v>
      </c>
      <c r="P2656" s="132" t="s">
        <v>6820</v>
      </c>
      <c r="Q2656" s="132">
        <v>10412</v>
      </c>
    </row>
    <row r="2657" spans="1:17" x14ac:dyDescent="0.2">
      <c r="A2657" t="s">
        <v>295</v>
      </c>
      <c r="B2657" s="141">
        <f t="shared" si="42"/>
        <v>19.32</v>
      </c>
      <c r="C2657" s="280">
        <v>45918</v>
      </c>
      <c r="D2657" s="279">
        <v>45922</v>
      </c>
      <c r="E2657" s="279">
        <v>45922</v>
      </c>
      <c r="F2657" s="132"/>
      <c r="G2657" s="132" t="s">
        <v>5049</v>
      </c>
      <c r="H2657" s="132" t="s">
        <v>373</v>
      </c>
      <c r="I2657" s="132" t="s">
        <v>1100</v>
      </c>
      <c r="J2657" s="132" t="s">
        <v>6638</v>
      </c>
      <c r="K2657" s="132" t="s">
        <v>3681</v>
      </c>
      <c r="L2657" s="132" t="s">
        <v>6639</v>
      </c>
      <c r="M2657" s="132" t="s">
        <v>6868</v>
      </c>
      <c r="N2657" s="132" t="s">
        <v>1105</v>
      </c>
      <c r="O2657" s="132" t="s">
        <v>6869</v>
      </c>
      <c r="P2657" s="132" t="s">
        <v>6820</v>
      </c>
      <c r="Q2657" s="132">
        <v>10411</v>
      </c>
    </row>
    <row r="2658" spans="1:17" x14ac:dyDescent="0.2">
      <c r="A2658" t="s">
        <v>295</v>
      </c>
      <c r="B2658" s="141">
        <f t="shared" si="42"/>
        <v>19.32</v>
      </c>
      <c r="C2658" s="280">
        <v>45918</v>
      </c>
      <c r="D2658" s="279">
        <v>45922</v>
      </c>
      <c r="E2658" s="279">
        <v>45922</v>
      </c>
      <c r="F2658" s="132"/>
      <c r="G2658" s="132" t="s">
        <v>1108</v>
      </c>
      <c r="H2658" s="132" t="s">
        <v>373</v>
      </c>
      <c r="I2658" s="132" t="s">
        <v>1100</v>
      </c>
      <c r="J2658" s="132" t="s">
        <v>6638</v>
      </c>
      <c r="K2658" s="132" t="s">
        <v>3681</v>
      </c>
      <c r="L2658" s="132" t="s">
        <v>6639</v>
      </c>
      <c r="M2658" s="132" t="s">
        <v>6870</v>
      </c>
      <c r="N2658" s="132" t="s">
        <v>1117</v>
      </c>
      <c r="O2658" s="132" t="s">
        <v>6871</v>
      </c>
      <c r="P2658" s="132" t="s">
        <v>6820</v>
      </c>
      <c r="Q2658" s="132">
        <v>10410</v>
      </c>
    </row>
    <row r="2659" spans="1:17" x14ac:dyDescent="0.2">
      <c r="A2659" t="s">
        <v>295</v>
      </c>
      <c r="B2659" s="141">
        <f t="shared" si="42"/>
        <v>14.41</v>
      </c>
      <c r="C2659" s="280">
        <v>45918</v>
      </c>
      <c r="D2659" s="279">
        <v>45922</v>
      </c>
      <c r="E2659" s="279">
        <v>45922</v>
      </c>
      <c r="F2659" s="132"/>
      <c r="G2659" s="132" t="s">
        <v>1108</v>
      </c>
      <c r="H2659" s="132" t="s">
        <v>373</v>
      </c>
      <c r="I2659" s="132" t="s">
        <v>1100</v>
      </c>
      <c r="J2659" s="132" t="s">
        <v>6650</v>
      </c>
      <c r="K2659" s="132" t="s">
        <v>6715</v>
      </c>
      <c r="L2659" s="132" t="s">
        <v>1314</v>
      </c>
      <c r="M2659" s="132" t="s">
        <v>6872</v>
      </c>
      <c r="N2659" s="132" t="s">
        <v>1117</v>
      </c>
      <c r="O2659" s="132" t="s">
        <v>6873</v>
      </c>
      <c r="P2659" s="132" t="s">
        <v>6820</v>
      </c>
      <c r="Q2659" s="132">
        <v>10409</v>
      </c>
    </row>
    <row r="2660" spans="1:17" x14ac:dyDescent="0.2">
      <c r="A2660" t="s">
        <v>295</v>
      </c>
      <c r="B2660" s="141">
        <f t="shared" si="42"/>
        <v>19.32</v>
      </c>
      <c r="C2660" s="280">
        <v>45918</v>
      </c>
      <c r="D2660" s="279">
        <v>45922</v>
      </c>
      <c r="E2660" s="279">
        <v>45922</v>
      </c>
      <c r="F2660" s="132"/>
      <c r="G2660" s="132" t="s">
        <v>1108</v>
      </c>
      <c r="H2660" s="132" t="s">
        <v>373</v>
      </c>
      <c r="I2660" s="132" t="s">
        <v>1100</v>
      </c>
      <c r="J2660" s="132" t="s">
        <v>6638</v>
      </c>
      <c r="K2660" s="132" t="s">
        <v>3681</v>
      </c>
      <c r="L2660" s="132" t="s">
        <v>6639</v>
      </c>
      <c r="M2660" s="281" t="s">
        <v>6874</v>
      </c>
      <c r="N2660" s="132" t="s">
        <v>4957</v>
      </c>
      <c r="O2660" s="132" t="s">
        <v>6875</v>
      </c>
      <c r="P2660" s="132" t="s">
        <v>6820</v>
      </c>
      <c r="Q2660" s="132">
        <v>10408</v>
      </c>
    </row>
    <row r="2661" spans="1:17" x14ac:dyDescent="0.2">
      <c r="A2661" t="s">
        <v>81</v>
      </c>
      <c r="B2661" s="141">
        <f t="shared" si="42"/>
        <v>58.56</v>
      </c>
      <c r="C2661" s="280">
        <v>45918</v>
      </c>
      <c r="D2661" s="279">
        <v>45922</v>
      </c>
      <c r="E2661" s="279">
        <v>45922</v>
      </c>
      <c r="F2661" s="132"/>
      <c r="G2661" s="132" t="s">
        <v>6876</v>
      </c>
      <c r="H2661" s="132" t="s">
        <v>373</v>
      </c>
      <c r="I2661" s="132" t="s">
        <v>1100</v>
      </c>
      <c r="J2661" s="132" t="s">
        <v>4623</v>
      </c>
      <c r="K2661" s="132" t="s">
        <v>4672</v>
      </c>
      <c r="L2661" s="132" t="s">
        <v>4673</v>
      </c>
      <c r="M2661" s="132" t="s">
        <v>6877</v>
      </c>
      <c r="N2661" s="132" t="s">
        <v>1105</v>
      </c>
      <c r="O2661" s="132" t="s">
        <v>6878</v>
      </c>
      <c r="P2661" s="132" t="s">
        <v>6820</v>
      </c>
      <c r="Q2661" s="132" t="s">
        <v>1108</v>
      </c>
    </row>
    <row r="2662" spans="1:17" x14ac:dyDescent="0.2">
      <c r="A2662" t="s">
        <v>295</v>
      </c>
      <c r="B2662" s="141">
        <f t="shared" si="42"/>
        <v>19.32</v>
      </c>
      <c r="C2662" s="280">
        <v>45918</v>
      </c>
      <c r="D2662" s="279">
        <v>45922</v>
      </c>
      <c r="E2662" s="279">
        <v>45922</v>
      </c>
      <c r="F2662" s="132"/>
      <c r="G2662" s="132" t="s">
        <v>4890</v>
      </c>
      <c r="H2662" s="132" t="s">
        <v>373</v>
      </c>
      <c r="I2662" s="132" t="s">
        <v>1100</v>
      </c>
      <c r="J2662" s="132" t="s">
        <v>6638</v>
      </c>
      <c r="K2662" s="132" t="s">
        <v>3681</v>
      </c>
      <c r="L2662" s="132" t="s">
        <v>6639</v>
      </c>
      <c r="M2662" s="132" t="s">
        <v>6879</v>
      </c>
      <c r="N2662" s="132" t="s">
        <v>1105</v>
      </c>
      <c r="O2662" s="132" t="s">
        <v>6880</v>
      </c>
      <c r="P2662" s="132" t="s">
        <v>6820</v>
      </c>
      <c r="Q2662" s="132">
        <v>10407</v>
      </c>
    </row>
    <row r="2663" spans="1:17" x14ac:dyDescent="0.2">
      <c r="A2663" t="s">
        <v>295</v>
      </c>
      <c r="B2663" s="141">
        <f t="shared" si="42"/>
        <v>19.2</v>
      </c>
      <c r="C2663" s="280">
        <v>45918</v>
      </c>
      <c r="D2663" s="279">
        <v>45922</v>
      </c>
      <c r="E2663" s="279">
        <v>45922</v>
      </c>
      <c r="F2663" s="132"/>
      <c r="G2663" s="132" t="s">
        <v>1108</v>
      </c>
      <c r="H2663" s="132" t="s">
        <v>373</v>
      </c>
      <c r="I2663" s="132" t="s">
        <v>1100</v>
      </c>
      <c r="J2663" s="132" t="s">
        <v>6638</v>
      </c>
      <c r="K2663" s="132" t="s">
        <v>3969</v>
      </c>
      <c r="L2663" s="132" t="s">
        <v>6739</v>
      </c>
      <c r="M2663" s="132" t="s">
        <v>6881</v>
      </c>
      <c r="N2663" s="132" t="s">
        <v>1112</v>
      </c>
      <c r="O2663" s="132" t="s">
        <v>6882</v>
      </c>
      <c r="P2663" s="132" t="s">
        <v>6820</v>
      </c>
      <c r="Q2663" s="132">
        <v>10406</v>
      </c>
    </row>
    <row r="2664" spans="1:17" x14ac:dyDescent="0.2">
      <c r="A2664" t="s">
        <v>295</v>
      </c>
      <c r="B2664" s="141">
        <f t="shared" si="42"/>
        <v>38.94</v>
      </c>
      <c r="C2664" s="280">
        <v>45918</v>
      </c>
      <c r="D2664" s="279">
        <v>45922</v>
      </c>
      <c r="E2664" s="279">
        <v>45922</v>
      </c>
      <c r="F2664" s="132"/>
      <c r="G2664" s="132" t="s">
        <v>4780</v>
      </c>
      <c r="H2664" s="132" t="s">
        <v>373</v>
      </c>
      <c r="I2664" s="132" t="s">
        <v>1100</v>
      </c>
      <c r="J2664" s="132" t="s">
        <v>6883</v>
      </c>
      <c r="K2664" s="132" t="s">
        <v>3400</v>
      </c>
      <c r="L2664" s="132" t="s">
        <v>6884</v>
      </c>
      <c r="M2664" s="132" t="s">
        <v>6885</v>
      </c>
      <c r="N2664" s="132" t="s">
        <v>1105</v>
      </c>
      <c r="O2664" s="132" t="s">
        <v>6886</v>
      </c>
      <c r="P2664" s="132" t="s">
        <v>6820</v>
      </c>
      <c r="Q2664" s="132">
        <v>10405</v>
      </c>
    </row>
    <row r="2665" spans="1:17" x14ac:dyDescent="0.2">
      <c r="A2665" t="s">
        <v>295</v>
      </c>
      <c r="B2665" s="141">
        <f t="shared" si="42"/>
        <v>19.32</v>
      </c>
      <c r="C2665" s="280">
        <v>45918</v>
      </c>
      <c r="D2665" s="279">
        <v>45922</v>
      </c>
      <c r="E2665" s="279">
        <v>45922</v>
      </c>
      <c r="F2665" s="132"/>
      <c r="G2665" s="132" t="s">
        <v>1108</v>
      </c>
      <c r="H2665" s="132" t="s">
        <v>373</v>
      </c>
      <c r="I2665" s="132" t="s">
        <v>1100</v>
      </c>
      <c r="J2665" s="132" t="s">
        <v>6638</v>
      </c>
      <c r="K2665" s="132" t="s">
        <v>3681</v>
      </c>
      <c r="L2665" s="132" t="s">
        <v>6639</v>
      </c>
      <c r="M2665" s="132" t="s">
        <v>6887</v>
      </c>
      <c r="N2665" s="132" t="s">
        <v>4957</v>
      </c>
      <c r="O2665" s="132" t="s">
        <v>6888</v>
      </c>
      <c r="P2665" s="132" t="s">
        <v>6820</v>
      </c>
      <c r="Q2665" s="132">
        <v>10404</v>
      </c>
    </row>
    <row r="2666" spans="1:17" x14ac:dyDescent="0.2">
      <c r="A2666" t="s">
        <v>295</v>
      </c>
      <c r="B2666" s="141">
        <f t="shared" si="42"/>
        <v>14.41</v>
      </c>
      <c r="C2666" s="280">
        <v>45918</v>
      </c>
      <c r="D2666" s="279">
        <v>45922</v>
      </c>
      <c r="E2666" s="279">
        <v>45922</v>
      </c>
      <c r="F2666" s="132"/>
      <c r="G2666" s="132" t="s">
        <v>1108</v>
      </c>
      <c r="H2666" s="132" t="s">
        <v>373</v>
      </c>
      <c r="I2666" s="132" t="s">
        <v>1100</v>
      </c>
      <c r="J2666" s="132" t="s">
        <v>6650</v>
      </c>
      <c r="K2666" s="132" t="s">
        <v>6715</v>
      </c>
      <c r="L2666" s="132" t="s">
        <v>1314</v>
      </c>
      <c r="M2666" s="132" t="s">
        <v>6889</v>
      </c>
      <c r="N2666" s="132" t="s">
        <v>1117</v>
      </c>
      <c r="O2666" s="132" t="s">
        <v>6890</v>
      </c>
      <c r="P2666" s="132" t="s">
        <v>6820</v>
      </c>
      <c r="Q2666" s="132">
        <v>10403</v>
      </c>
    </row>
    <row r="2667" spans="1:17" x14ac:dyDescent="0.2">
      <c r="A2667" t="s">
        <v>295</v>
      </c>
      <c r="B2667" s="141">
        <f t="shared" si="42"/>
        <v>14.32</v>
      </c>
      <c r="C2667" s="280">
        <v>45918</v>
      </c>
      <c r="D2667" s="279">
        <v>45922</v>
      </c>
      <c r="E2667" s="279">
        <v>45922</v>
      </c>
      <c r="F2667" s="132"/>
      <c r="G2667" s="132" t="s">
        <v>1108</v>
      </c>
      <c r="H2667" s="132" t="s">
        <v>373</v>
      </c>
      <c r="I2667" s="132" t="s">
        <v>1100</v>
      </c>
      <c r="J2667" s="132" t="s">
        <v>6650</v>
      </c>
      <c r="K2667" s="132" t="s">
        <v>3681</v>
      </c>
      <c r="L2667" s="132" t="s">
        <v>1190</v>
      </c>
      <c r="M2667" s="132" t="s">
        <v>6891</v>
      </c>
      <c r="N2667" s="132" t="s">
        <v>1112</v>
      </c>
      <c r="O2667" s="132" t="s">
        <v>6892</v>
      </c>
      <c r="P2667" s="132" t="s">
        <v>6820</v>
      </c>
      <c r="Q2667" s="132">
        <v>10402</v>
      </c>
    </row>
    <row r="2668" spans="1:17" x14ac:dyDescent="0.2">
      <c r="A2668" t="s">
        <v>295</v>
      </c>
      <c r="B2668" s="141">
        <f t="shared" si="42"/>
        <v>14.32</v>
      </c>
      <c r="C2668" s="280">
        <v>45918</v>
      </c>
      <c r="D2668" s="279">
        <v>45922</v>
      </c>
      <c r="E2668" s="279">
        <v>45922</v>
      </c>
      <c r="F2668" s="132"/>
      <c r="G2668" s="132" t="s">
        <v>1108</v>
      </c>
      <c r="H2668" s="132" t="s">
        <v>373</v>
      </c>
      <c r="I2668" s="132" t="s">
        <v>1100</v>
      </c>
      <c r="J2668" s="132" t="s">
        <v>6650</v>
      </c>
      <c r="K2668" s="132" t="s">
        <v>3681</v>
      </c>
      <c r="L2668" s="132" t="s">
        <v>1190</v>
      </c>
      <c r="M2668" s="132" t="s">
        <v>6893</v>
      </c>
      <c r="N2668" s="132" t="s">
        <v>1112</v>
      </c>
      <c r="O2668" s="132" t="s">
        <v>6894</v>
      </c>
      <c r="P2668" s="132" t="s">
        <v>6820</v>
      </c>
      <c r="Q2668" s="132">
        <v>10401</v>
      </c>
    </row>
    <row r="2669" spans="1:17" x14ac:dyDescent="0.2">
      <c r="A2669" t="s">
        <v>295</v>
      </c>
      <c r="B2669" s="141">
        <f t="shared" si="42"/>
        <v>14.32</v>
      </c>
      <c r="C2669" s="280">
        <v>45918</v>
      </c>
      <c r="D2669" s="279">
        <v>45922</v>
      </c>
      <c r="E2669" s="279">
        <v>45922</v>
      </c>
      <c r="F2669" s="132"/>
      <c r="G2669" s="132" t="s">
        <v>1108</v>
      </c>
      <c r="H2669" s="132" t="s">
        <v>373</v>
      </c>
      <c r="I2669" s="132" t="s">
        <v>1100</v>
      </c>
      <c r="J2669" s="132" t="s">
        <v>6650</v>
      </c>
      <c r="K2669" s="132" t="s">
        <v>3681</v>
      </c>
      <c r="L2669" s="132" t="s">
        <v>1190</v>
      </c>
      <c r="M2669" s="132" t="s">
        <v>6895</v>
      </c>
      <c r="N2669" s="132" t="s">
        <v>1112</v>
      </c>
      <c r="O2669" s="132" t="s">
        <v>6896</v>
      </c>
      <c r="P2669" s="132" t="s">
        <v>6820</v>
      </c>
      <c r="Q2669" s="132">
        <v>10400</v>
      </c>
    </row>
    <row r="2670" spans="1:17" x14ac:dyDescent="0.2">
      <c r="A2670" t="s">
        <v>295</v>
      </c>
      <c r="B2670" s="141">
        <f t="shared" ref="B2670:B2733" si="43">_xlfn.NUMBERVALUE(L2670)*0.01</f>
        <v>19.32</v>
      </c>
      <c r="C2670" s="280">
        <v>45919</v>
      </c>
      <c r="D2670" s="279">
        <v>45922</v>
      </c>
      <c r="E2670" s="279">
        <v>45922</v>
      </c>
      <c r="F2670" s="132"/>
      <c r="G2670" s="132" t="s">
        <v>1108</v>
      </c>
      <c r="H2670" s="132" t="s">
        <v>373</v>
      </c>
      <c r="I2670" s="132" t="s">
        <v>1100</v>
      </c>
      <c r="J2670" s="132" t="s">
        <v>6638</v>
      </c>
      <c r="K2670" s="132" t="s">
        <v>3681</v>
      </c>
      <c r="L2670" s="132" t="s">
        <v>6639</v>
      </c>
      <c r="M2670" s="132" t="s">
        <v>6897</v>
      </c>
      <c r="N2670" s="132" t="s">
        <v>1117</v>
      </c>
      <c r="O2670" s="132" t="s">
        <v>6898</v>
      </c>
      <c r="P2670" s="132" t="s">
        <v>6820</v>
      </c>
      <c r="Q2670" s="132">
        <v>10437</v>
      </c>
    </row>
    <row r="2671" spans="1:17" x14ac:dyDescent="0.2">
      <c r="A2671" t="s">
        <v>295</v>
      </c>
      <c r="B2671" s="141">
        <f t="shared" si="43"/>
        <v>14.41</v>
      </c>
      <c r="C2671" s="280">
        <v>45919</v>
      </c>
      <c r="D2671" s="279">
        <v>45922</v>
      </c>
      <c r="E2671" s="279">
        <v>45922</v>
      </c>
      <c r="F2671" s="132"/>
      <c r="G2671" s="132" t="s">
        <v>4626</v>
      </c>
      <c r="H2671" s="132" t="s">
        <v>373</v>
      </c>
      <c r="I2671" s="132" t="s">
        <v>1100</v>
      </c>
      <c r="J2671" s="132" t="s">
        <v>6650</v>
      </c>
      <c r="K2671" s="132" t="s">
        <v>6715</v>
      </c>
      <c r="L2671" s="132" t="s">
        <v>1314</v>
      </c>
      <c r="M2671" s="132" t="s">
        <v>6899</v>
      </c>
      <c r="N2671" s="132" t="s">
        <v>1105</v>
      </c>
      <c r="O2671" s="132" t="s">
        <v>6900</v>
      </c>
      <c r="P2671" s="132" t="s">
        <v>6820</v>
      </c>
      <c r="Q2671" s="132">
        <v>10436</v>
      </c>
    </row>
    <row r="2672" spans="1:17" x14ac:dyDescent="0.2">
      <c r="A2672" t="s">
        <v>295</v>
      </c>
      <c r="B2672" s="141">
        <f t="shared" si="43"/>
        <v>24.22</v>
      </c>
      <c r="C2672" s="280">
        <v>45919</v>
      </c>
      <c r="D2672" s="279">
        <v>45922</v>
      </c>
      <c r="E2672" s="279">
        <v>45922</v>
      </c>
      <c r="F2672" s="132"/>
      <c r="G2672" s="132" t="s">
        <v>1108</v>
      </c>
      <c r="H2672" s="132" t="s">
        <v>373</v>
      </c>
      <c r="I2672" s="132" t="s">
        <v>1100</v>
      </c>
      <c r="J2672" s="132" t="s">
        <v>6627</v>
      </c>
      <c r="K2672" s="132" t="s">
        <v>6628</v>
      </c>
      <c r="L2672" s="132" t="s">
        <v>3459</v>
      </c>
      <c r="M2672" s="132" t="s">
        <v>6901</v>
      </c>
      <c r="N2672" s="132" t="s">
        <v>1117</v>
      </c>
      <c r="O2672" s="132" t="s">
        <v>6902</v>
      </c>
      <c r="P2672" s="132" t="s">
        <v>6820</v>
      </c>
      <c r="Q2672" s="132">
        <v>10435</v>
      </c>
    </row>
    <row r="2673" spans="1:17" x14ac:dyDescent="0.2">
      <c r="A2673" t="s">
        <v>295</v>
      </c>
      <c r="B2673" s="141">
        <f t="shared" si="43"/>
        <v>14.41</v>
      </c>
      <c r="C2673" s="280">
        <v>45919</v>
      </c>
      <c r="D2673" s="279">
        <v>45923</v>
      </c>
      <c r="E2673" s="279">
        <v>45923</v>
      </c>
      <c r="F2673" s="132"/>
      <c r="G2673" s="132" t="s">
        <v>1108</v>
      </c>
      <c r="H2673" s="132" t="s">
        <v>373</v>
      </c>
      <c r="I2673" s="132" t="s">
        <v>1100</v>
      </c>
      <c r="J2673" s="132" t="s">
        <v>6650</v>
      </c>
      <c r="K2673" s="132" t="s">
        <v>6715</v>
      </c>
      <c r="L2673" s="132" t="s">
        <v>1314</v>
      </c>
      <c r="M2673" s="132" t="s">
        <v>6903</v>
      </c>
      <c r="N2673" s="132" t="s">
        <v>1117</v>
      </c>
      <c r="O2673" s="132" t="s">
        <v>6904</v>
      </c>
      <c r="P2673" s="132" t="s">
        <v>6905</v>
      </c>
      <c r="Q2673" s="132">
        <v>10508</v>
      </c>
    </row>
    <row r="2674" spans="1:17" x14ac:dyDescent="0.2">
      <c r="A2674" t="s">
        <v>295</v>
      </c>
      <c r="B2674" s="141">
        <f t="shared" si="43"/>
        <v>14.32</v>
      </c>
      <c r="C2674" s="280">
        <v>45919</v>
      </c>
      <c r="D2674" s="279">
        <v>45923</v>
      </c>
      <c r="E2674" s="279">
        <v>45923</v>
      </c>
      <c r="F2674" s="132"/>
      <c r="G2674" s="132" t="s">
        <v>1108</v>
      </c>
      <c r="H2674" s="132" t="s">
        <v>373</v>
      </c>
      <c r="I2674" s="132" t="s">
        <v>1100</v>
      </c>
      <c r="J2674" s="132" t="s">
        <v>6650</v>
      </c>
      <c r="K2674" s="132" t="s">
        <v>3681</v>
      </c>
      <c r="L2674" s="132" t="s">
        <v>1190</v>
      </c>
      <c r="M2674" s="132" t="s">
        <v>6906</v>
      </c>
      <c r="N2674" s="132" t="s">
        <v>1112</v>
      </c>
      <c r="O2674" s="132" t="s">
        <v>6907</v>
      </c>
      <c r="P2674" s="132" t="s">
        <v>6905</v>
      </c>
      <c r="Q2674" s="132">
        <v>10507</v>
      </c>
    </row>
    <row r="2675" spans="1:17" x14ac:dyDescent="0.2">
      <c r="A2675" t="s">
        <v>295</v>
      </c>
      <c r="B2675" s="141">
        <f t="shared" si="43"/>
        <v>24.07</v>
      </c>
      <c r="C2675" s="280">
        <v>45919</v>
      </c>
      <c r="D2675" s="279">
        <v>45923</v>
      </c>
      <c r="E2675" s="279">
        <v>45923</v>
      </c>
      <c r="F2675" s="132"/>
      <c r="G2675" s="132" t="s">
        <v>1108</v>
      </c>
      <c r="H2675" s="132" t="s">
        <v>373</v>
      </c>
      <c r="I2675" s="132" t="s">
        <v>1100</v>
      </c>
      <c r="J2675" s="132" t="s">
        <v>6627</v>
      </c>
      <c r="K2675" s="132" t="s">
        <v>6635</v>
      </c>
      <c r="L2675" s="132" t="s">
        <v>3432</v>
      </c>
      <c r="M2675" s="132" t="s">
        <v>6908</v>
      </c>
      <c r="N2675" s="132" t="s">
        <v>1112</v>
      </c>
      <c r="O2675" s="132" t="s">
        <v>6909</v>
      </c>
      <c r="P2675" s="132" t="s">
        <v>6905</v>
      </c>
      <c r="Q2675" s="132">
        <v>10506</v>
      </c>
    </row>
    <row r="2676" spans="1:17" x14ac:dyDescent="0.2">
      <c r="A2676" t="s">
        <v>295</v>
      </c>
      <c r="B2676" s="141">
        <f t="shared" si="43"/>
        <v>14.41</v>
      </c>
      <c r="C2676" s="280">
        <v>45919</v>
      </c>
      <c r="D2676" s="279">
        <v>45923</v>
      </c>
      <c r="E2676" s="279">
        <v>45923</v>
      </c>
      <c r="F2676" s="132"/>
      <c r="G2676" s="132" t="s">
        <v>1108</v>
      </c>
      <c r="H2676" s="132" t="s">
        <v>373</v>
      </c>
      <c r="I2676" s="132" t="s">
        <v>1100</v>
      </c>
      <c r="J2676" s="132" t="s">
        <v>6650</v>
      </c>
      <c r="K2676" s="132" t="s">
        <v>6715</v>
      </c>
      <c r="L2676" s="132" t="s">
        <v>1314</v>
      </c>
      <c r="M2676" s="132" t="s">
        <v>6910</v>
      </c>
      <c r="N2676" s="132" t="s">
        <v>1117</v>
      </c>
      <c r="O2676" s="132" t="s">
        <v>6911</v>
      </c>
      <c r="P2676" s="132" t="s">
        <v>6905</v>
      </c>
      <c r="Q2676" s="132">
        <v>10505</v>
      </c>
    </row>
    <row r="2677" spans="1:17" x14ac:dyDescent="0.2">
      <c r="A2677" t="s">
        <v>295</v>
      </c>
      <c r="B2677" s="141">
        <f t="shared" si="43"/>
        <v>24.22</v>
      </c>
      <c r="C2677" s="280">
        <v>45919</v>
      </c>
      <c r="D2677" s="279">
        <v>45923</v>
      </c>
      <c r="E2677" s="279">
        <v>45923</v>
      </c>
      <c r="F2677" s="132"/>
      <c r="G2677" s="132" t="s">
        <v>1108</v>
      </c>
      <c r="H2677" s="132" t="s">
        <v>373</v>
      </c>
      <c r="I2677" s="132" t="s">
        <v>1100</v>
      </c>
      <c r="J2677" s="132" t="s">
        <v>6627</v>
      </c>
      <c r="K2677" s="132" t="s">
        <v>6628</v>
      </c>
      <c r="L2677" s="132" t="s">
        <v>3459</v>
      </c>
      <c r="M2677" s="132" t="s">
        <v>6912</v>
      </c>
      <c r="N2677" s="132" t="s">
        <v>1117</v>
      </c>
      <c r="O2677" s="132" t="s">
        <v>6913</v>
      </c>
      <c r="P2677" s="132" t="s">
        <v>6905</v>
      </c>
      <c r="Q2677" s="132">
        <v>10504</v>
      </c>
    </row>
    <row r="2678" spans="1:17" x14ac:dyDescent="0.2">
      <c r="A2678" t="s">
        <v>295</v>
      </c>
      <c r="B2678" s="141">
        <f t="shared" si="43"/>
        <v>14.32</v>
      </c>
      <c r="C2678" s="280">
        <v>45919</v>
      </c>
      <c r="D2678" s="279">
        <v>45923</v>
      </c>
      <c r="E2678" s="279">
        <v>45923</v>
      </c>
      <c r="F2678" s="132"/>
      <c r="G2678" s="132" t="s">
        <v>1108</v>
      </c>
      <c r="H2678" s="132" t="s">
        <v>373</v>
      </c>
      <c r="I2678" s="132" t="s">
        <v>1100</v>
      </c>
      <c r="J2678" s="132" t="s">
        <v>6650</v>
      </c>
      <c r="K2678" s="132" t="s">
        <v>3681</v>
      </c>
      <c r="L2678" s="132" t="s">
        <v>1190</v>
      </c>
      <c r="M2678" s="132" t="s">
        <v>6914</v>
      </c>
      <c r="N2678" s="132" t="s">
        <v>1112</v>
      </c>
      <c r="O2678" s="132" t="s">
        <v>6915</v>
      </c>
      <c r="P2678" s="132" t="s">
        <v>6905</v>
      </c>
      <c r="Q2678" s="132">
        <v>10503</v>
      </c>
    </row>
    <row r="2679" spans="1:17" x14ac:dyDescent="0.2">
      <c r="A2679" t="s">
        <v>295</v>
      </c>
      <c r="B2679" s="141">
        <f t="shared" si="43"/>
        <v>19.2</v>
      </c>
      <c r="C2679" s="280">
        <v>45919</v>
      </c>
      <c r="D2679" s="279">
        <v>45923</v>
      </c>
      <c r="E2679" s="279">
        <v>45923</v>
      </c>
      <c r="F2679" s="132"/>
      <c r="G2679" s="132" t="s">
        <v>1108</v>
      </c>
      <c r="H2679" s="132" t="s">
        <v>373</v>
      </c>
      <c r="I2679" s="132" t="s">
        <v>1100</v>
      </c>
      <c r="J2679" s="132" t="s">
        <v>6638</v>
      </c>
      <c r="K2679" s="132" t="s">
        <v>3969</v>
      </c>
      <c r="L2679" s="132" t="s">
        <v>6739</v>
      </c>
      <c r="M2679" s="132" t="s">
        <v>6916</v>
      </c>
      <c r="N2679" s="132" t="s">
        <v>1112</v>
      </c>
      <c r="O2679" s="281" t="s">
        <v>6917</v>
      </c>
      <c r="P2679" s="132" t="s">
        <v>6905</v>
      </c>
      <c r="Q2679" s="132">
        <v>10502</v>
      </c>
    </row>
    <row r="2680" spans="1:17" x14ac:dyDescent="0.2">
      <c r="A2680" t="s">
        <v>295</v>
      </c>
      <c r="B2680" s="141">
        <f t="shared" si="43"/>
        <v>14.41</v>
      </c>
      <c r="C2680" s="280">
        <v>45919</v>
      </c>
      <c r="D2680" s="279">
        <v>45923</v>
      </c>
      <c r="E2680" s="279">
        <v>45923</v>
      </c>
      <c r="F2680" s="132"/>
      <c r="G2680" s="132" t="s">
        <v>1108</v>
      </c>
      <c r="H2680" s="132" t="s">
        <v>373</v>
      </c>
      <c r="I2680" s="132" t="s">
        <v>1100</v>
      </c>
      <c r="J2680" s="132" t="s">
        <v>6650</v>
      </c>
      <c r="K2680" s="132" t="s">
        <v>6715</v>
      </c>
      <c r="L2680" s="132" t="s">
        <v>1314</v>
      </c>
      <c r="M2680" s="132" t="s">
        <v>6918</v>
      </c>
      <c r="N2680" s="132" t="s">
        <v>1117</v>
      </c>
      <c r="O2680" s="132" t="s">
        <v>6919</v>
      </c>
      <c r="P2680" s="132" t="s">
        <v>6905</v>
      </c>
      <c r="Q2680" s="132">
        <v>10501</v>
      </c>
    </row>
    <row r="2681" spans="1:17" x14ac:dyDescent="0.2">
      <c r="A2681" t="s">
        <v>295</v>
      </c>
      <c r="B2681" s="141">
        <f t="shared" si="43"/>
        <v>14.41</v>
      </c>
      <c r="C2681" s="280">
        <v>45919</v>
      </c>
      <c r="D2681" s="279">
        <v>45923</v>
      </c>
      <c r="E2681" s="279">
        <v>45923</v>
      </c>
      <c r="F2681" s="132"/>
      <c r="G2681" s="132" t="s">
        <v>6920</v>
      </c>
      <c r="H2681" s="132" t="s">
        <v>373</v>
      </c>
      <c r="I2681" s="132" t="s">
        <v>1100</v>
      </c>
      <c r="J2681" s="132" t="s">
        <v>6650</v>
      </c>
      <c r="K2681" s="132" t="s">
        <v>6715</v>
      </c>
      <c r="L2681" s="132" t="s">
        <v>1314</v>
      </c>
      <c r="M2681" s="132" t="s">
        <v>6921</v>
      </c>
      <c r="N2681" s="132" t="s">
        <v>1105</v>
      </c>
      <c r="O2681" s="132" t="s">
        <v>6922</v>
      </c>
      <c r="P2681" s="132" t="s">
        <v>6905</v>
      </c>
      <c r="Q2681" s="132">
        <v>10500</v>
      </c>
    </row>
    <row r="2682" spans="1:17" x14ac:dyDescent="0.2">
      <c r="A2682" t="s">
        <v>295</v>
      </c>
      <c r="B2682" s="141">
        <f t="shared" si="43"/>
        <v>14.32</v>
      </c>
      <c r="C2682" s="280">
        <v>45919</v>
      </c>
      <c r="D2682" s="279">
        <v>45923</v>
      </c>
      <c r="E2682" s="279">
        <v>45923</v>
      </c>
      <c r="F2682" s="132"/>
      <c r="G2682" s="132" t="s">
        <v>1108</v>
      </c>
      <c r="H2682" s="132" t="s">
        <v>373</v>
      </c>
      <c r="I2682" s="132" t="s">
        <v>1100</v>
      </c>
      <c r="J2682" s="132" t="s">
        <v>6650</v>
      </c>
      <c r="K2682" s="132" t="s">
        <v>3681</v>
      </c>
      <c r="L2682" s="132" t="s">
        <v>1190</v>
      </c>
      <c r="M2682" s="132" t="s">
        <v>6923</v>
      </c>
      <c r="N2682" s="132" t="s">
        <v>1112</v>
      </c>
      <c r="O2682" s="132" t="s">
        <v>6924</v>
      </c>
      <c r="P2682" s="132" t="s">
        <v>6905</v>
      </c>
      <c r="Q2682" s="132">
        <v>10499</v>
      </c>
    </row>
    <row r="2683" spans="1:17" x14ac:dyDescent="0.2">
      <c r="A2683" t="s">
        <v>295</v>
      </c>
      <c r="B2683" s="141">
        <f t="shared" si="43"/>
        <v>24.22</v>
      </c>
      <c r="C2683" s="280">
        <v>45919</v>
      </c>
      <c r="D2683" s="279">
        <v>45923</v>
      </c>
      <c r="E2683" s="279">
        <v>45923</v>
      </c>
      <c r="F2683" s="132"/>
      <c r="G2683" s="132" t="s">
        <v>6067</v>
      </c>
      <c r="H2683" s="132" t="s">
        <v>373</v>
      </c>
      <c r="I2683" s="132" t="s">
        <v>1100</v>
      </c>
      <c r="J2683" s="132" t="s">
        <v>6627</v>
      </c>
      <c r="K2683" s="132" t="s">
        <v>6628</v>
      </c>
      <c r="L2683" s="132" t="s">
        <v>3459</v>
      </c>
      <c r="M2683" s="132" t="s">
        <v>6925</v>
      </c>
      <c r="N2683" s="132" t="s">
        <v>1105</v>
      </c>
      <c r="O2683" s="132" t="s">
        <v>6926</v>
      </c>
      <c r="P2683" s="132" t="s">
        <v>6905</v>
      </c>
      <c r="Q2683" s="132">
        <v>10498</v>
      </c>
    </row>
    <row r="2684" spans="1:17" x14ac:dyDescent="0.2">
      <c r="A2684" t="s">
        <v>295</v>
      </c>
      <c r="B2684" s="141">
        <f t="shared" si="43"/>
        <v>19.2</v>
      </c>
      <c r="C2684" s="280">
        <v>45919</v>
      </c>
      <c r="D2684" s="279">
        <v>45923</v>
      </c>
      <c r="E2684" s="279">
        <v>45923</v>
      </c>
      <c r="F2684" s="132"/>
      <c r="G2684" s="132" t="s">
        <v>1108</v>
      </c>
      <c r="H2684" s="132" t="s">
        <v>373</v>
      </c>
      <c r="I2684" s="132" t="s">
        <v>1100</v>
      </c>
      <c r="J2684" s="132" t="s">
        <v>6638</v>
      </c>
      <c r="K2684" s="132" t="s">
        <v>3969</v>
      </c>
      <c r="L2684" s="132" t="s">
        <v>6739</v>
      </c>
      <c r="M2684" s="132" t="s">
        <v>6927</v>
      </c>
      <c r="N2684" s="132" t="s">
        <v>1112</v>
      </c>
      <c r="O2684" s="132" t="s">
        <v>6928</v>
      </c>
      <c r="P2684" s="132" t="s">
        <v>6905</v>
      </c>
      <c r="Q2684" s="132">
        <v>10497</v>
      </c>
    </row>
    <row r="2685" spans="1:17" x14ac:dyDescent="0.2">
      <c r="A2685" t="s">
        <v>295</v>
      </c>
      <c r="B2685" s="141">
        <f t="shared" si="43"/>
        <v>24.22</v>
      </c>
      <c r="C2685" s="280">
        <v>45919</v>
      </c>
      <c r="D2685" s="279">
        <v>45923</v>
      </c>
      <c r="E2685" s="279">
        <v>45923</v>
      </c>
      <c r="F2685" s="132"/>
      <c r="G2685" s="132" t="s">
        <v>1108</v>
      </c>
      <c r="H2685" s="132" t="s">
        <v>373</v>
      </c>
      <c r="I2685" s="132" t="s">
        <v>1100</v>
      </c>
      <c r="J2685" s="132" t="s">
        <v>6627</v>
      </c>
      <c r="K2685" s="132" t="s">
        <v>6628</v>
      </c>
      <c r="L2685" s="132" t="s">
        <v>3459</v>
      </c>
      <c r="M2685" s="132" t="s">
        <v>6929</v>
      </c>
      <c r="N2685" s="132" t="s">
        <v>1117</v>
      </c>
      <c r="O2685" s="132" t="s">
        <v>6930</v>
      </c>
      <c r="P2685" s="132" t="s">
        <v>6905</v>
      </c>
      <c r="Q2685" s="132">
        <v>10495</v>
      </c>
    </row>
    <row r="2686" spans="1:17" x14ac:dyDescent="0.2">
      <c r="A2686" t="s">
        <v>295</v>
      </c>
      <c r="B2686" s="141">
        <f t="shared" si="43"/>
        <v>24.07</v>
      </c>
      <c r="C2686" s="280">
        <v>45919</v>
      </c>
      <c r="D2686" s="279">
        <v>45923</v>
      </c>
      <c r="E2686" s="279">
        <v>45923</v>
      </c>
      <c r="F2686" s="132"/>
      <c r="G2686" s="132" t="s">
        <v>1108</v>
      </c>
      <c r="H2686" s="132" t="s">
        <v>373</v>
      </c>
      <c r="I2686" s="132" t="s">
        <v>1100</v>
      </c>
      <c r="J2686" s="132" t="s">
        <v>6627</v>
      </c>
      <c r="K2686" s="132" t="s">
        <v>6635</v>
      </c>
      <c r="L2686" s="132" t="s">
        <v>3432</v>
      </c>
      <c r="M2686" s="132" t="s">
        <v>6931</v>
      </c>
      <c r="N2686" s="132" t="s">
        <v>1112</v>
      </c>
      <c r="O2686" s="132" t="s">
        <v>6932</v>
      </c>
      <c r="P2686" s="132" t="s">
        <v>6905</v>
      </c>
      <c r="Q2686" s="132">
        <v>10496</v>
      </c>
    </row>
    <row r="2687" spans="1:17" x14ac:dyDescent="0.2">
      <c r="A2687" t="s">
        <v>295</v>
      </c>
      <c r="B2687" s="141">
        <f t="shared" si="43"/>
        <v>19.32</v>
      </c>
      <c r="C2687" s="280">
        <v>45919</v>
      </c>
      <c r="D2687" s="279">
        <v>45923</v>
      </c>
      <c r="E2687" s="279">
        <v>45923</v>
      </c>
      <c r="F2687" s="132"/>
      <c r="G2687" s="132" t="s">
        <v>1108</v>
      </c>
      <c r="H2687" s="132" t="s">
        <v>373</v>
      </c>
      <c r="I2687" s="132" t="s">
        <v>1100</v>
      </c>
      <c r="J2687" s="132" t="s">
        <v>6638</v>
      </c>
      <c r="K2687" s="132" t="s">
        <v>3681</v>
      </c>
      <c r="L2687" s="132" t="s">
        <v>6639</v>
      </c>
      <c r="M2687" s="132" t="s">
        <v>6933</v>
      </c>
      <c r="N2687" s="132" t="s">
        <v>1117</v>
      </c>
      <c r="O2687" s="132" t="s">
        <v>6934</v>
      </c>
      <c r="P2687" s="132" t="s">
        <v>6905</v>
      </c>
      <c r="Q2687" s="132">
        <v>10494</v>
      </c>
    </row>
    <row r="2688" spans="1:17" x14ac:dyDescent="0.2">
      <c r="A2688" t="s">
        <v>295</v>
      </c>
      <c r="B2688" s="141">
        <f t="shared" si="43"/>
        <v>34.03</v>
      </c>
      <c r="C2688" s="280">
        <v>45919</v>
      </c>
      <c r="D2688" s="279">
        <v>45923</v>
      </c>
      <c r="E2688" s="279">
        <v>45923</v>
      </c>
      <c r="F2688" s="132"/>
      <c r="G2688" s="132" t="s">
        <v>1108</v>
      </c>
      <c r="H2688" s="132" t="s">
        <v>373</v>
      </c>
      <c r="I2688" s="132" t="s">
        <v>1100</v>
      </c>
      <c r="J2688" s="132" t="s">
        <v>6762</v>
      </c>
      <c r="K2688" s="132" t="s">
        <v>3408</v>
      </c>
      <c r="L2688" s="132" t="s">
        <v>3479</v>
      </c>
      <c r="M2688" s="132" t="s">
        <v>6935</v>
      </c>
      <c r="N2688" s="132" t="s">
        <v>1117</v>
      </c>
      <c r="O2688" s="132" t="s">
        <v>6936</v>
      </c>
      <c r="P2688" s="132" t="s">
        <v>6905</v>
      </c>
      <c r="Q2688" s="132">
        <v>10493</v>
      </c>
    </row>
    <row r="2689" spans="1:17" x14ac:dyDescent="0.2">
      <c r="A2689" t="s">
        <v>295</v>
      </c>
      <c r="B2689" s="141">
        <f t="shared" si="43"/>
        <v>19.32</v>
      </c>
      <c r="C2689" s="280">
        <v>45919</v>
      </c>
      <c r="D2689" s="279">
        <v>45923</v>
      </c>
      <c r="E2689" s="279">
        <v>45923</v>
      </c>
      <c r="F2689" s="132"/>
      <c r="G2689" s="132" t="s">
        <v>1108</v>
      </c>
      <c r="H2689" s="132" t="s">
        <v>373</v>
      </c>
      <c r="I2689" s="132" t="s">
        <v>1100</v>
      </c>
      <c r="J2689" s="132" t="s">
        <v>6638</v>
      </c>
      <c r="K2689" s="132" t="s">
        <v>3681</v>
      </c>
      <c r="L2689" s="132" t="s">
        <v>6639</v>
      </c>
      <c r="M2689" s="132" t="s">
        <v>6937</v>
      </c>
      <c r="N2689" s="132" t="s">
        <v>1117</v>
      </c>
      <c r="O2689" s="132" t="s">
        <v>6938</v>
      </c>
      <c r="P2689" s="132" t="s">
        <v>6905</v>
      </c>
      <c r="Q2689" s="132">
        <v>10492</v>
      </c>
    </row>
    <row r="2690" spans="1:17" x14ac:dyDescent="0.2">
      <c r="A2690" t="s">
        <v>295</v>
      </c>
      <c r="B2690" s="141">
        <f t="shared" si="43"/>
        <v>24.22</v>
      </c>
      <c r="C2690" s="280">
        <v>45919</v>
      </c>
      <c r="D2690" s="279">
        <v>45923</v>
      </c>
      <c r="E2690" s="279">
        <v>45923</v>
      </c>
      <c r="F2690" s="132"/>
      <c r="G2690" s="132" t="s">
        <v>4855</v>
      </c>
      <c r="H2690" s="132" t="s">
        <v>373</v>
      </c>
      <c r="I2690" s="132" t="s">
        <v>1100</v>
      </c>
      <c r="J2690" s="132" t="s">
        <v>6627</v>
      </c>
      <c r="K2690" s="132" t="s">
        <v>6628</v>
      </c>
      <c r="L2690" s="132" t="s">
        <v>3459</v>
      </c>
      <c r="M2690" s="132" t="s">
        <v>6939</v>
      </c>
      <c r="N2690" s="132" t="s">
        <v>1105</v>
      </c>
      <c r="O2690" s="132" t="s">
        <v>6940</v>
      </c>
      <c r="P2690" s="132" t="s">
        <v>6905</v>
      </c>
      <c r="Q2690" s="132">
        <v>10491</v>
      </c>
    </row>
    <row r="2691" spans="1:17" x14ac:dyDescent="0.2">
      <c r="A2691" t="s">
        <v>295</v>
      </c>
      <c r="B2691" s="141">
        <f t="shared" si="43"/>
        <v>24.22</v>
      </c>
      <c r="C2691" s="280">
        <v>45919</v>
      </c>
      <c r="D2691" s="279">
        <v>45923</v>
      </c>
      <c r="E2691" s="279">
        <v>45923</v>
      </c>
      <c r="F2691" s="132"/>
      <c r="G2691" s="132" t="s">
        <v>1108</v>
      </c>
      <c r="H2691" s="132" t="s">
        <v>373</v>
      </c>
      <c r="I2691" s="132" t="s">
        <v>1100</v>
      </c>
      <c r="J2691" s="132" t="s">
        <v>6627</v>
      </c>
      <c r="K2691" s="132" t="s">
        <v>6628</v>
      </c>
      <c r="L2691" s="132" t="s">
        <v>3459</v>
      </c>
      <c r="M2691" s="132" t="s">
        <v>6941</v>
      </c>
      <c r="N2691" s="132" t="s">
        <v>1117</v>
      </c>
      <c r="O2691" s="132" t="s">
        <v>6942</v>
      </c>
      <c r="P2691" s="132" t="s">
        <v>6905</v>
      </c>
      <c r="Q2691" s="132">
        <v>10490</v>
      </c>
    </row>
    <row r="2692" spans="1:17" x14ac:dyDescent="0.2">
      <c r="A2692" t="s">
        <v>295</v>
      </c>
      <c r="B2692" s="141">
        <f t="shared" si="43"/>
        <v>24.07</v>
      </c>
      <c r="C2692" s="280">
        <v>45919</v>
      </c>
      <c r="D2692" s="279">
        <v>45923</v>
      </c>
      <c r="E2692" s="279">
        <v>45923</v>
      </c>
      <c r="F2692" s="132"/>
      <c r="G2692" s="132" t="s">
        <v>1108</v>
      </c>
      <c r="H2692" s="132" t="s">
        <v>373</v>
      </c>
      <c r="I2692" s="132" t="s">
        <v>1100</v>
      </c>
      <c r="J2692" s="132" t="s">
        <v>6627</v>
      </c>
      <c r="K2692" s="132" t="s">
        <v>6635</v>
      </c>
      <c r="L2692" s="132" t="s">
        <v>3432</v>
      </c>
      <c r="M2692" s="132" t="s">
        <v>6943</v>
      </c>
      <c r="N2692" s="132" t="s">
        <v>1112</v>
      </c>
      <c r="O2692" s="132" t="s">
        <v>6944</v>
      </c>
      <c r="P2692" s="132" t="s">
        <v>6905</v>
      </c>
      <c r="Q2692" s="132">
        <v>10489</v>
      </c>
    </row>
    <row r="2693" spans="1:17" x14ac:dyDescent="0.2">
      <c r="A2693" t="s">
        <v>295</v>
      </c>
      <c r="B2693" s="141">
        <f t="shared" si="43"/>
        <v>19.32</v>
      </c>
      <c r="C2693" s="280">
        <v>45919</v>
      </c>
      <c r="D2693" s="279">
        <v>45923</v>
      </c>
      <c r="E2693" s="279">
        <v>45923</v>
      </c>
      <c r="F2693" s="132"/>
      <c r="G2693" s="132" t="s">
        <v>1108</v>
      </c>
      <c r="H2693" s="132" t="s">
        <v>373</v>
      </c>
      <c r="I2693" s="132" t="s">
        <v>1100</v>
      </c>
      <c r="J2693" s="132" t="s">
        <v>6638</v>
      </c>
      <c r="K2693" s="132" t="s">
        <v>3681</v>
      </c>
      <c r="L2693" s="132" t="s">
        <v>6639</v>
      </c>
      <c r="M2693" s="132" t="s">
        <v>6945</v>
      </c>
      <c r="N2693" s="132" t="s">
        <v>1117</v>
      </c>
      <c r="O2693" s="132" t="s">
        <v>6946</v>
      </c>
      <c r="P2693" s="132" t="s">
        <v>6905</v>
      </c>
      <c r="Q2693" s="132">
        <v>10488</v>
      </c>
    </row>
    <row r="2694" spans="1:17" x14ac:dyDescent="0.2">
      <c r="A2694" t="s">
        <v>295</v>
      </c>
      <c r="B2694" s="141">
        <f t="shared" si="43"/>
        <v>14.41</v>
      </c>
      <c r="C2694" s="280">
        <v>45919</v>
      </c>
      <c r="D2694" s="279">
        <v>45923</v>
      </c>
      <c r="E2694" s="279">
        <v>45923</v>
      </c>
      <c r="F2694" s="132"/>
      <c r="G2694" s="132" t="s">
        <v>1108</v>
      </c>
      <c r="H2694" s="132" t="s">
        <v>373</v>
      </c>
      <c r="I2694" s="132" t="s">
        <v>1100</v>
      </c>
      <c r="J2694" s="132" t="s">
        <v>6650</v>
      </c>
      <c r="K2694" s="132" t="s">
        <v>6715</v>
      </c>
      <c r="L2694" s="132" t="s">
        <v>1314</v>
      </c>
      <c r="M2694" s="132" t="s">
        <v>6947</v>
      </c>
      <c r="N2694" s="132" t="s">
        <v>1117</v>
      </c>
      <c r="O2694" s="132" t="s">
        <v>6948</v>
      </c>
      <c r="P2694" s="132" t="s">
        <v>6905</v>
      </c>
      <c r="Q2694" s="132">
        <v>10487</v>
      </c>
    </row>
    <row r="2695" spans="1:17" x14ac:dyDescent="0.2">
      <c r="A2695" t="s">
        <v>295</v>
      </c>
      <c r="B2695" s="141">
        <f t="shared" si="43"/>
        <v>14.41</v>
      </c>
      <c r="C2695" s="280">
        <v>45919</v>
      </c>
      <c r="D2695" s="279">
        <v>45923</v>
      </c>
      <c r="E2695" s="279">
        <v>45923</v>
      </c>
      <c r="F2695" s="132"/>
      <c r="G2695" s="132" t="s">
        <v>1108</v>
      </c>
      <c r="H2695" s="132" t="s">
        <v>373</v>
      </c>
      <c r="I2695" s="132" t="s">
        <v>1100</v>
      </c>
      <c r="J2695" s="132" t="s">
        <v>6650</v>
      </c>
      <c r="K2695" s="132" t="s">
        <v>6715</v>
      </c>
      <c r="L2695" s="132" t="s">
        <v>1314</v>
      </c>
      <c r="M2695" s="132" t="s">
        <v>6949</v>
      </c>
      <c r="N2695" s="132" t="s">
        <v>1117</v>
      </c>
      <c r="O2695" s="132" t="s">
        <v>6950</v>
      </c>
      <c r="P2695" s="132" t="s">
        <v>6905</v>
      </c>
      <c r="Q2695" s="132">
        <v>10486</v>
      </c>
    </row>
    <row r="2696" spans="1:17" x14ac:dyDescent="0.2">
      <c r="A2696" t="s">
        <v>295</v>
      </c>
      <c r="B2696" s="141">
        <f t="shared" si="43"/>
        <v>14.41</v>
      </c>
      <c r="C2696" s="280">
        <v>45919</v>
      </c>
      <c r="D2696" s="279">
        <v>45923</v>
      </c>
      <c r="E2696" s="279">
        <v>45923</v>
      </c>
      <c r="F2696" s="132"/>
      <c r="G2696" s="132" t="s">
        <v>1108</v>
      </c>
      <c r="H2696" s="132" t="s">
        <v>373</v>
      </c>
      <c r="I2696" s="132" t="s">
        <v>1100</v>
      </c>
      <c r="J2696" s="132" t="s">
        <v>6650</v>
      </c>
      <c r="K2696" s="132" t="s">
        <v>6715</v>
      </c>
      <c r="L2696" s="132" t="s">
        <v>1314</v>
      </c>
      <c r="M2696" s="132" t="s">
        <v>6951</v>
      </c>
      <c r="N2696" s="132" t="s">
        <v>1117</v>
      </c>
      <c r="O2696" s="132" t="s">
        <v>6952</v>
      </c>
      <c r="P2696" s="132" t="s">
        <v>6905</v>
      </c>
      <c r="Q2696" s="132">
        <v>10485</v>
      </c>
    </row>
    <row r="2697" spans="1:17" x14ac:dyDescent="0.2">
      <c r="A2697" t="s">
        <v>295</v>
      </c>
      <c r="B2697" s="141">
        <f t="shared" si="43"/>
        <v>14.41</v>
      </c>
      <c r="C2697" s="280">
        <v>45919</v>
      </c>
      <c r="D2697" s="279">
        <v>45923</v>
      </c>
      <c r="E2697" s="279">
        <v>45923</v>
      </c>
      <c r="F2697" s="132"/>
      <c r="G2697" s="132" t="s">
        <v>1108</v>
      </c>
      <c r="H2697" s="132" t="s">
        <v>373</v>
      </c>
      <c r="I2697" s="132" t="s">
        <v>1100</v>
      </c>
      <c r="J2697" s="132" t="s">
        <v>6650</v>
      </c>
      <c r="K2697" s="132" t="s">
        <v>6715</v>
      </c>
      <c r="L2697" s="132" t="s">
        <v>1314</v>
      </c>
      <c r="M2697" s="132" t="s">
        <v>6953</v>
      </c>
      <c r="N2697" s="132" t="s">
        <v>4957</v>
      </c>
      <c r="O2697" s="132" t="s">
        <v>6954</v>
      </c>
      <c r="P2697" s="132" t="s">
        <v>6905</v>
      </c>
      <c r="Q2697" s="132">
        <v>10484</v>
      </c>
    </row>
    <row r="2698" spans="1:17" x14ac:dyDescent="0.2">
      <c r="A2698" t="s">
        <v>295</v>
      </c>
      <c r="B2698" s="141">
        <f t="shared" si="43"/>
        <v>24.22</v>
      </c>
      <c r="C2698" s="280">
        <v>45919</v>
      </c>
      <c r="D2698" s="279">
        <v>45923</v>
      </c>
      <c r="E2698" s="279">
        <v>45923</v>
      </c>
      <c r="F2698" s="132"/>
      <c r="G2698" s="132" t="s">
        <v>1108</v>
      </c>
      <c r="H2698" s="132" t="s">
        <v>373</v>
      </c>
      <c r="I2698" s="132" t="s">
        <v>1100</v>
      </c>
      <c r="J2698" s="132" t="s">
        <v>6627</v>
      </c>
      <c r="K2698" s="132" t="s">
        <v>6628</v>
      </c>
      <c r="L2698" s="132" t="s">
        <v>3459</v>
      </c>
      <c r="M2698" s="132" t="s">
        <v>6955</v>
      </c>
      <c r="N2698" s="132" t="s">
        <v>1117</v>
      </c>
      <c r="O2698" s="132" t="s">
        <v>6956</v>
      </c>
      <c r="P2698" s="132" t="s">
        <v>6905</v>
      </c>
      <c r="Q2698" s="132">
        <v>10483</v>
      </c>
    </row>
    <row r="2699" spans="1:17" x14ac:dyDescent="0.2">
      <c r="A2699" t="s">
        <v>295</v>
      </c>
      <c r="B2699" s="141">
        <f t="shared" si="43"/>
        <v>14.41</v>
      </c>
      <c r="C2699" s="280">
        <v>45919</v>
      </c>
      <c r="D2699" s="279">
        <v>45923</v>
      </c>
      <c r="E2699" s="279">
        <v>45923</v>
      </c>
      <c r="F2699" s="132"/>
      <c r="G2699" s="132" t="s">
        <v>1108</v>
      </c>
      <c r="H2699" s="132" t="s">
        <v>373</v>
      </c>
      <c r="I2699" s="132" t="s">
        <v>1100</v>
      </c>
      <c r="J2699" s="132" t="s">
        <v>6650</v>
      </c>
      <c r="K2699" s="132" t="s">
        <v>6715</v>
      </c>
      <c r="L2699" s="132" t="s">
        <v>1314</v>
      </c>
      <c r="M2699" s="132" t="s">
        <v>6957</v>
      </c>
      <c r="N2699" s="132" t="s">
        <v>1117</v>
      </c>
      <c r="O2699" s="132" t="s">
        <v>6958</v>
      </c>
      <c r="P2699" s="132" t="s">
        <v>6905</v>
      </c>
      <c r="Q2699" s="132">
        <v>10482</v>
      </c>
    </row>
    <row r="2700" spans="1:17" x14ac:dyDescent="0.2">
      <c r="A2700" t="s">
        <v>295</v>
      </c>
      <c r="B2700" s="141">
        <f t="shared" si="43"/>
        <v>19.32</v>
      </c>
      <c r="C2700" s="280">
        <v>45919</v>
      </c>
      <c r="D2700" s="279">
        <v>45923</v>
      </c>
      <c r="E2700" s="279">
        <v>45923</v>
      </c>
      <c r="F2700" s="132"/>
      <c r="G2700" s="132" t="s">
        <v>1108</v>
      </c>
      <c r="H2700" s="132" t="s">
        <v>373</v>
      </c>
      <c r="I2700" s="132" t="s">
        <v>1100</v>
      </c>
      <c r="J2700" s="132" t="s">
        <v>6638</v>
      </c>
      <c r="K2700" s="132" t="s">
        <v>3681</v>
      </c>
      <c r="L2700" s="132" t="s">
        <v>6639</v>
      </c>
      <c r="M2700" s="132" t="s">
        <v>6959</v>
      </c>
      <c r="N2700" s="132" t="s">
        <v>1117</v>
      </c>
      <c r="O2700" s="132" t="s">
        <v>6960</v>
      </c>
      <c r="P2700" s="132" t="s">
        <v>6905</v>
      </c>
      <c r="Q2700" s="132">
        <v>10481</v>
      </c>
    </row>
    <row r="2701" spans="1:17" x14ac:dyDescent="0.2">
      <c r="A2701" t="s">
        <v>295</v>
      </c>
      <c r="B2701" s="141">
        <f t="shared" si="43"/>
        <v>14.23</v>
      </c>
      <c r="C2701" s="280">
        <v>45919</v>
      </c>
      <c r="D2701" s="279">
        <v>45923</v>
      </c>
      <c r="E2701" s="279">
        <v>45923</v>
      </c>
      <c r="F2701" s="132"/>
      <c r="G2701" s="132" t="s">
        <v>1108</v>
      </c>
      <c r="H2701" s="132" t="s">
        <v>373</v>
      </c>
      <c r="I2701" s="132" t="s">
        <v>1100</v>
      </c>
      <c r="J2701" s="132" t="s">
        <v>6650</v>
      </c>
      <c r="K2701" s="132" t="s">
        <v>1358</v>
      </c>
      <c r="L2701" s="132" t="s">
        <v>6961</v>
      </c>
      <c r="M2701" s="132" t="s">
        <v>6962</v>
      </c>
      <c r="N2701" s="132" t="s">
        <v>1117</v>
      </c>
      <c r="O2701" s="132" t="s">
        <v>6963</v>
      </c>
      <c r="P2701" s="132" t="s">
        <v>6905</v>
      </c>
      <c r="Q2701" s="132">
        <v>10480</v>
      </c>
    </row>
    <row r="2702" spans="1:17" x14ac:dyDescent="0.2">
      <c r="A2702" t="s">
        <v>295</v>
      </c>
      <c r="B2702" s="141">
        <f t="shared" si="43"/>
        <v>19.32</v>
      </c>
      <c r="C2702" s="280">
        <v>45919</v>
      </c>
      <c r="D2702" s="279">
        <v>45923</v>
      </c>
      <c r="E2702" s="279">
        <v>45923</v>
      </c>
      <c r="F2702" s="132"/>
      <c r="G2702" s="132" t="s">
        <v>4667</v>
      </c>
      <c r="H2702" s="132" t="s">
        <v>373</v>
      </c>
      <c r="I2702" s="132" t="s">
        <v>1100</v>
      </c>
      <c r="J2702" s="132" t="s">
        <v>6638</v>
      </c>
      <c r="K2702" s="132" t="s">
        <v>3681</v>
      </c>
      <c r="L2702" s="132" t="s">
        <v>6639</v>
      </c>
      <c r="M2702" s="132" t="s">
        <v>6964</v>
      </c>
      <c r="N2702" s="132" t="s">
        <v>1105</v>
      </c>
      <c r="O2702" s="132" t="s">
        <v>6965</v>
      </c>
      <c r="P2702" s="132" t="s">
        <v>6905</v>
      </c>
      <c r="Q2702" s="132">
        <v>10479</v>
      </c>
    </row>
    <row r="2703" spans="1:17" x14ac:dyDescent="0.2">
      <c r="A2703" t="s">
        <v>295</v>
      </c>
      <c r="B2703" s="141">
        <f t="shared" si="43"/>
        <v>19.2</v>
      </c>
      <c r="C2703" s="280">
        <v>45919</v>
      </c>
      <c r="D2703" s="279">
        <v>45923</v>
      </c>
      <c r="E2703" s="279">
        <v>45923</v>
      </c>
      <c r="F2703" s="132"/>
      <c r="G2703" s="132" t="s">
        <v>1108</v>
      </c>
      <c r="H2703" s="132" t="s">
        <v>373</v>
      </c>
      <c r="I2703" s="132" t="s">
        <v>1100</v>
      </c>
      <c r="J2703" s="132" t="s">
        <v>6638</v>
      </c>
      <c r="K2703" s="132" t="s">
        <v>3969</v>
      </c>
      <c r="L2703" s="132" t="s">
        <v>6739</v>
      </c>
      <c r="M2703" s="132" t="s">
        <v>6966</v>
      </c>
      <c r="N2703" s="132" t="s">
        <v>1112</v>
      </c>
      <c r="O2703" s="132" t="s">
        <v>6967</v>
      </c>
      <c r="P2703" s="132" t="s">
        <v>6905</v>
      </c>
      <c r="Q2703" s="132">
        <v>10478</v>
      </c>
    </row>
    <row r="2704" spans="1:17" x14ac:dyDescent="0.2">
      <c r="A2704" t="s">
        <v>295</v>
      </c>
      <c r="B2704" s="141">
        <f t="shared" si="43"/>
        <v>19.32</v>
      </c>
      <c r="C2704" s="280">
        <v>45919</v>
      </c>
      <c r="D2704" s="279">
        <v>45923</v>
      </c>
      <c r="E2704" s="279">
        <v>45923</v>
      </c>
      <c r="F2704" s="132"/>
      <c r="G2704" s="132" t="s">
        <v>1108</v>
      </c>
      <c r="H2704" s="132" t="s">
        <v>373</v>
      </c>
      <c r="I2704" s="132" t="s">
        <v>1100</v>
      </c>
      <c r="J2704" s="132" t="s">
        <v>6638</v>
      </c>
      <c r="K2704" s="132" t="s">
        <v>3681</v>
      </c>
      <c r="L2704" s="132" t="s">
        <v>6639</v>
      </c>
      <c r="M2704" s="132" t="s">
        <v>6968</v>
      </c>
      <c r="N2704" s="132" t="s">
        <v>1117</v>
      </c>
      <c r="O2704" s="132" t="s">
        <v>6969</v>
      </c>
      <c r="P2704" s="132" t="s">
        <v>6905</v>
      </c>
      <c r="Q2704" s="132">
        <v>10476</v>
      </c>
    </row>
    <row r="2705" spans="1:17" x14ac:dyDescent="0.2">
      <c r="A2705" t="s">
        <v>295</v>
      </c>
      <c r="B2705" s="141">
        <f t="shared" si="43"/>
        <v>14.32</v>
      </c>
      <c r="C2705" s="280">
        <v>45919</v>
      </c>
      <c r="D2705" s="279">
        <v>45923</v>
      </c>
      <c r="E2705" s="279">
        <v>45923</v>
      </c>
      <c r="F2705" s="132"/>
      <c r="G2705" s="132" t="s">
        <v>1108</v>
      </c>
      <c r="H2705" s="132" t="s">
        <v>373</v>
      </c>
      <c r="I2705" s="132" t="s">
        <v>1100</v>
      </c>
      <c r="J2705" s="132" t="s">
        <v>6650</v>
      </c>
      <c r="K2705" s="132" t="s">
        <v>3681</v>
      </c>
      <c r="L2705" s="132" t="s">
        <v>1190</v>
      </c>
      <c r="M2705" s="132" t="s">
        <v>6970</v>
      </c>
      <c r="N2705" s="132" t="s">
        <v>1112</v>
      </c>
      <c r="O2705" s="132" t="s">
        <v>6971</v>
      </c>
      <c r="P2705" s="132" t="s">
        <v>6905</v>
      </c>
      <c r="Q2705" s="132">
        <v>10477</v>
      </c>
    </row>
    <row r="2706" spans="1:17" x14ac:dyDescent="0.2">
      <c r="A2706" t="s">
        <v>295</v>
      </c>
      <c r="B2706" s="141">
        <f t="shared" si="43"/>
        <v>19.32</v>
      </c>
      <c r="C2706" s="280">
        <v>45919</v>
      </c>
      <c r="D2706" s="279">
        <v>45923</v>
      </c>
      <c r="E2706" s="279">
        <v>45923</v>
      </c>
      <c r="F2706" s="132"/>
      <c r="G2706" s="132" t="s">
        <v>1108</v>
      </c>
      <c r="H2706" s="132" t="s">
        <v>373</v>
      </c>
      <c r="I2706" s="132" t="s">
        <v>1100</v>
      </c>
      <c r="J2706" s="132" t="s">
        <v>6638</v>
      </c>
      <c r="K2706" s="132" t="s">
        <v>3681</v>
      </c>
      <c r="L2706" s="132" t="s">
        <v>6639</v>
      </c>
      <c r="M2706" s="132" t="s">
        <v>6972</v>
      </c>
      <c r="N2706" s="132" t="s">
        <v>1117</v>
      </c>
      <c r="O2706" s="132" t="s">
        <v>6973</v>
      </c>
      <c r="P2706" s="132" t="s">
        <v>6905</v>
      </c>
      <c r="Q2706" s="132">
        <v>10475</v>
      </c>
    </row>
    <row r="2707" spans="1:17" x14ac:dyDescent="0.2">
      <c r="A2707" t="s">
        <v>295</v>
      </c>
      <c r="B2707" s="141">
        <f t="shared" si="43"/>
        <v>24.22</v>
      </c>
      <c r="C2707" s="280">
        <v>45919</v>
      </c>
      <c r="D2707" s="279">
        <v>45923</v>
      </c>
      <c r="E2707" s="279">
        <v>45923</v>
      </c>
      <c r="F2707" s="132"/>
      <c r="G2707" s="132" t="s">
        <v>1108</v>
      </c>
      <c r="H2707" s="132" t="s">
        <v>373</v>
      </c>
      <c r="I2707" s="132" t="s">
        <v>1100</v>
      </c>
      <c r="J2707" s="132" t="s">
        <v>6627</v>
      </c>
      <c r="K2707" s="132" t="s">
        <v>6628</v>
      </c>
      <c r="L2707" s="132" t="s">
        <v>3459</v>
      </c>
      <c r="M2707" s="132" t="s">
        <v>6974</v>
      </c>
      <c r="N2707" s="132" t="s">
        <v>1117</v>
      </c>
      <c r="O2707" s="132" t="s">
        <v>6975</v>
      </c>
      <c r="P2707" s="132" t="s">
        <v>6905</v>
      </c>
      <c r="Q2707" s="132">
        <v>10474</v>
      </c>
    </row>
    <row r="2708" spans="1:17" x14ac:dyDescent="0.2">
      <c r="A2708" t="s">
        <v>295</v>
      </c>
      <c r="B2708" s="141">
        <f t="shared" si="43"/>
        <v>19.32</v>
      </c>
      <c r="C2708" s="280">
        <v>45919</v>
      </c>
      <c r="D2708" s="279">
        <v>45923</v>
      </c>
      <c r="E2708" s="279">
        <v>45923</v>
      </c>
      <c r="F2708" s="132"/>
      <c r="G2708" s="132" t="s">
        <v>1108</v>
      </c>
      <c r="H2708" s="132" t="s">
        <v>373</v>
      </c>
      <c r="I2708" s="132" t="s">
        <v>1100</v>
      </c>
      <c r="J2708" s="132" t="s">
        <v>6638</v>
      </c>
      <c r="K2708" s="132" t="s">
        <v>3681</v>
      </c>
      <c r="L2708" s="132" t="s">
        <v>6639</v>
      </c>
      <c r="M2708" s="132" t="s">
        <v>6976</v>
      </c>
      <c r="N2708" s="132" t="s">
        <v>1117</v>
      </c>
      <c r="O2708" s="132" t="s">
        <v>6977</v>
      </c>
      <c r="P2708" s="132" t="s">
        <v>6905</v>
      </c>
      <c r="Q2708" s="132">
        <v>10473</v>
      </c>
    </row>
    <row r="2709" spans="1:17" x14ac:dyDescent="0.2">
      <c r="A2709" t="s">
        <v>295</v>
      </c>
      <c r="B2709" s="141">
        <f t="shared" si="43"/>
        <v>24.22</v>
      </c>
      <c r="C2709" s="280">
        <v>45919</v>
      </c>
      <c r="D2709" s="279">
        <v>45923</v>
      </c>
      <c r="E2709" s="279">
        <v>45923</v>
      </c>
      <c r="F2709" s="132"/>
      <c r="G2709" s="132" t="s">
        <v>1108</v>
      </c>
      <c r="H2709" s="132" t="s">
        <v>373</v>
      </c>
      <c r="I2709" s="132" t="s">
        <v>1100</v>
      </c>
      <c r="J2709" s="132" t="s">
        <v>6627</v>
      </c>
      <c r="K2709" s="132" t="s">
        <v>6628</v>
      </c>
      <c r="L2709" s="132" t="s">
        <v>3459</v>
      </c>
      <c r="M2709" s="132" t="s">
        <v>6978</v>
      </c>
      <c r="N2709" s="132" t="s">
        <v>1117</v>
      </c>
      <c r="O2709" s="132" t="s">
        <v>6979</v>
      </c>
      <c r="P2709" s="132" t="s">
        <v>6905</v>
      </c>
      <c r="Q2709" s="132">
        <v>10472</v>
      </c>
    </row>
    <row r="2710" spans="1:17" x14ac:dyDescent="0.2">
      <c r="A2710" t="s">
        <v>81</v>
      </c>
      <c r="B2710" s="141">
        <f t="shared" si="43"/>
        <v>58.56</v>
      </c>
      <c r="C2710" s="280">
        <v>45919</v>
      </c>
      <c r="D2710" s="279">
        <v>45923</v>
      </c>
      <c r="E2710" s="279">
        <v>45923</v>
      </c>
      <c r="F2710" s="132"/>
      <c r="G2710" s="132" t="s">
        <v>6980</v>
      </c>
      <c r="H2710" s="132" t="s">
        <v>373</v>
      </c>
      <c r="I2710" s="132" t="s">
        <v>1100</v>
      </c>
      <c r="J2710" s="132" t="s">
        <v>4623</v>
      </c>
      <c r="K2710" s="132" t="s">
        <v>4672</v>
      </c>
      <c r="L2710" s="132" t="s">
        <v>4673</v>
      </c>
      <c r="M2710" s="132" t="s">
        <v>6981</v>
      </c>
      <c r="N2710" s="132" t="s">
        <v>1105</v>
      </c>
      <c r="O2710" s="132" t="s">
        <v>6982</v>
      </c>
      <c r="P2710" s="132" t="s">
        <v>6905</v>
      </c>
      <c r="Q2710" s="132" t="s">
        <v>1108</v>
      </c>
    </row>
    <row r="2711" spans="1:17" x14ac:dyDescent="0.2">
      <c r="A2711" t="s">
        <v>295</v>
      </c>
      <c r="B2711" s="141">
        <f t="shared" si="43"/>
        <v>24.22</v>
      </c>
      <c r="C2711" s="280">
        <v>45919</v>
      </c>
      <c r="D2711" s="279">
        <v>45923</v>
      </c>
      <c r="E2711" s="279">
        <v>45923</v>
      </c>
      <c r="F2711" s="132"/>
      <c r="G2711" s="132" t="s">
        <v>1108</v>
      </c>
      <c r="H2711" s="132" t="s">
        <v>373</v>
      </c>
      <c r="I2711" s="132" t="s">
        <v>1100</v>
      </c>
      <c r="J2711" s="132" t="s">
        <v>6627</v>
      </c>
      <c r="K2711" s="132" t="s">
        <v>6628</v>
      </c>
      <c r="L2711" s="132" t="s">
        <v>3459</v>
      </c>
      <c r="M2711" s="132" t="s">
        <v>6983</v>
      </c>
      <c r="N2711" s="132" t="s">
        <v>1117</v>
      </c>
      <c r="O2711" s="132" t="s">
        <v>6984</v>
      </c>
      <c r="P2711" s="132" t="s">
        <v>6905</v>
      </c>
      <c r="Q2711" s="132">
        <v>10471</v>
      </c>
    </row>
    <row r="2712" spans="1:17" x14ac:dyDescent="0.2">
      <c r="A2712" t="s">
        <v>295</v>
      </c>
      <c r="B2712" s="141">
        <f t="shared" si="43"/>
        <v>19.32</v>
      </c>
      <c r="C2712" s="280">
        <v>45919</v>
      </c>
      <c r="D2712" s="279">
        <v>45923</v>
      </c>
      <c r="E2712" s="279">
        <v>45923</v>
      </c>
      <c r="F2712" s="132"/>
      <c r="G2712" s="132" t="s">
        <v>4883</v>
      </c>
      <c r="H2712" s="132" t="s">
        <v>373</v>
      </c>
      <c r="I2712" s="132" t="s">
        <v>1100</v>
      </c>
      <c r="J2712" s="132" t="s">
        <v>6638</v>
      </c>
      <c r="K2712" s="132" t="s">
        <v>3681</v>
      </c>
      <c r="L2712" s="132" t="s">
        <v>6639</v>
      </c>
      <c r="M2712" s="132" t="s">
        <v>6985</v>
      </c>
      <c r="N2712" s="132" t="s">
        <v>1105</v>
      </c>
      <c r="O2712" s="132" t="s">
        <v>6986</v>
      </c>
      <c r="P2712" s="132" t="s">
        <v>6905</v>
      </c>
      <c r="Q2712" s="132">
        <v>10470</v>
      </c>
    </row>
    <row r="2713" spans="1:17" x14ac:dyDescent="0.2">
      <c r="A2713" t="s">
        <v>295</v>
      </c>
      <c r="B2713" s="141">
        <f t="shared" si="43"/>
        <v>14.32</v>
      </c>
      <c r="C2713" s="280">
        <v>45919</v>
      </c>
      <c r="D2713" s="279">
        <v>45923</v>
      </c>
      <c r="E2713" s="279">
        <v>45923</v>
      </c>
      <c r="F2713" s="132"/>
      <c r="G2713" s="132" t="s">
        <v>1108</v>
      </c>
      <c r="H2713" s="132" t="s">
        <v>373</v>
      </c>
      <c r="I2713" s="132" t="s">
        <v>1100</v>
      </c>
      <c r="J2713" s="132" t="s">
        <v>6650</v>
      </c>
      <c r="K2713" s="132" t="s">
        <v>3681</v>
      </c>
      <c r="L2713" s="132" t="s">
        <v>1190</v>
      </c>
      <c r="M2713" s="132" t="s">
        <v>6987</v>
      </c>
      <c r="N2713" s="132" t="s">
        <v>1112</v>
      </c>
      <c r="O2713" s="132" t="s">
        <v>6988</v>
      </c>
      <c r="P2713" s="132" t="s">
        <v>6905</v>
      </c>
      <c r="Q2713" s="132">
        <v>10469</v>
      </c>
    </row>
    <row r="2714" spans="1:17" x14ac:dyDescent="0.2">
      <c r="A2714" t="s">
        <v>295</v>
      </c>
      <c r="B2714" s="141">
        <f t="shared" si="43"/>
        <v>14.41</v>
      </c>
      <c r="C2714" s="280">
        <v>45919</v>
      </c>
      <c r="D2714" s="279">
        <v>45923</v>
      </c>
      <c r="E2714" s="279">
        <v>45923</v>
      </c>
      <c r="F2714" s="132"/>
      <c r="G2714" s="132" t="s">
        <v>4881</v>
      </c>
      <c r="H2714" s="132" t="s">
        <v>373</v>
      </c>
      <c r="I2714" s="132" t="s">
        <v>1100</v>
      </c>
      <c r="J2714" s="132" t="s">
        <v>6650</v>
      </c>
      <c r="K2714" s="132" t="s">
        <v>6715</v>
      </c>
      <c r="L2714" s="132" t="s">
        <v>1314</v>
      </c>
      <c r="M2714" s="132" t="s">
        <v>6989</v>
      </c>
      <c r="N2714" s="132" t="s">
        <v>1105</v>
      </c>
      <c r="O2714" s="132" t="s">
        <v>6990</v>
      </c>
      <c r="P2714" s="132" t="s">
        <v>6905</v>
      </c>
      <c r="Q2714" s="132">
        <v>10468</v>
      </c>
    </row>
    <row r="2715" spans="1:17" x14ac:dyDescent="0.2">
      <c r="A2715" t="s">
        <v>295</v>
      </c>
      <c r="B2715" s="141">
        <f t="shared" si="43"/>
        <v>14.41</v>
      </c>
      <c r="C2715" s="280">
        <v>45919</v>
      </c>
      <c r="D2715" s="279">
        <v>45923</v>
      </c>
      <c r="E2715" s="279">
        <v>45923</v>
      </c>
      <c r="F2715" s="132"/>
      <c r="G2715" s="132" t="s">
        <v>5509</v>
      </c>
      <c r="H2715" s="132" t="s">
        <v>373</v>
      </c>
      <c r="I2715" s="132" t="s">
        <v>1100</v>
      </c>
      <c r="J2715" s="132" t="s">
        <v>6650</v>
      </c>
      <c r="K2715" s="132" t="s">
        <v>6715</v>
      </c>
      <c r="L2715" s="132" t="s">
        <v>1314</v>
      </c>
      <c r="M2715" s="132" t="s">
        <v>6991</v>
      </c>
      <c r="N2715" s="132" t="s">
        <v>1105</v>
      </c>
      <c r="O2715" s="132" t="s">
        <v>6992</v>
      </c>
      <c r="P2715" s="132" t="s">
        <v>6905</v>
      </c>
      <c r="Q2715" s="132">
        <v>10467</v>
      </c>
    </row>
    <row r="2716" spans="1:17" x14ac:dyDescent="0.2">
      <c r="A2716" t="s">
        <v>295</v>
      </c>
      <c r="B2716" s="141">
        <f t="shared" si="43"/>
        <v>19.2</v>
      </c>
      <c r="C2716" s="280">
        <v>45919</v>
      </c>
      <c r="D2716" s="279">
        <v>45923</v>
      </c>
      <c r="E2716" s="279">
        <v>45923</v>
      </c>
      <c r="F2716" s="132"/>
      <c r="G2716" s="132" t="s">
        <v>1108</v>
      </c>
      <c r="H2716" s="132" t="s">
        <v>373</v>
      </c>
      <c r="I2716" s="132" t="s">
        <v>1100</v>
      </c>
      <c r="J2716" s="132" t="s">
        <v>6638</v>
      </c>
      <c r="K2716" s="132" t="s">
        <v>3969</v>
      </c>
      <c r="L2716" s="132" t="s">
        <v>6739</v>
      </c>
      <c r="M2716" s="132" t="s">
        <v>6993</v>
      </c>
      <c r="N2716" s="132" t="s">
        <v>1112</v>
      </c>
      <c r="O2716" s="132" t="s">
        <v>6994</v>
      </c>
      <c r="P2716" s="132" t="s">
        <v>6905</v>
      </c>
      <c r="Q2716" s="132">
        <v>10466</v>
      </c>
    </row>
    <row r="2717" spans="1:17" x14ac:dyDescent="0.2">
      <c r="A2717" t="s">
        <v>295</v>
      </c>
      <c r="B2717" s="141">
        <f t="shared" si="43"/>
        <v>14.41</v>
      </c>
      <c r="C2717" s="280">
        <v>45919</v>
      </c>
      <c r="D2717" s="279">
        <v>45923</v>
      </c>
      <c r="E2717" s="279">
        <v>45923</v>
      </c>
      <c r="F2717" s="132"/>
      <c r="G2717" s="132" t="s">
        <v>4938</v>
      </c>
      <c r="H2717" s="132" t="s">
        <v>373</v>
      </c>
      <c r="I2717" s="132" t="s">
        <v>1100</v>
      </c>
      <c r="J2717" s="132" t="s">
        <v>6650</v>
      </c>
      <c r="K2717" s="132" t="s">
        <v>6715</v>
      </c>
      <c r="L2717" s="132" t="s">
        <v>1314</v>
      </c>
      <c r="M2717" s="132" t="s">
        <v>6995</v>
      </c>
      <c r="N2717" s="132" t="s">
        <v>1105</v>
      </c>
      <c r="O2717" s="132" t="s">
        <v>6996</v>
      </c>
      <c r="P2717" s="132" t="s">
        <v>6905</v>
      </c>
      <c r="Q2717" s="132">
        <v>10465</v>
      </c>
    </row>
    <row r="2718" spans="1:17" x14ac:dyDescent="0.2">
      <c r="A2718" t="s">
        <v>295</v>
      </c>
      <c r="B2718" s="141">
        <f t="shared" si="43"/>
        <v>19.32</v>
      </c>
      <c r="C2718" s="280">
        <v>45919</v>
      </c>
      <c r="D2718" s="279">
        <v>45923</v>
      </c>
      <c r="E2718" s="279">
        <v>45923</v>
      </c>
      <c r="F2718" s="132"/>
      <c r="G2718" s="132" t="s">
        <v>1108</v>
      </c>
      <c r="H2718" s="132" t="s">
        <v>373</v>
      </c>
      <c r="I2718" s="132" t="s">
        <v>1100</v>
      </c>
      <c r="J2718" s="132" t="s">
        <v>6638</v>
      </c>
      <c r="K2718" s="132" t="s">
        <v>3681</v>
      </c>
      <c r="L2718" s="132" t="s">
        <v>6639</v>
      </c>
      <c r="M2718" s="132" t="s">
        <v>6997</v>
      </c>
      <c r="N2718" s="132" t="s">
        <v>1117</v>
      </c>
      <c r="O2718" s="132" t="s">
        <v>6998</v>
      </c>
      <c r="P2718" s="132" t="s">
        <v>6905</v>
      </c>
      <c r="Q2718" s="132">
        <v>10464</v>
      </c>
    </row>
    <row r="2719" spans="1:17" x14ac:dyDescent="0.2">
      <c r="A2719" t="s">
        <v>295</v>
      </c>
      <c r="B2719" s="141">
        <f t="shared" si="43"/>
        <v>19.32</v>
      </c>
      <c r="C2719" s="280">
        <v>45919</v>
      </c>
      <c r="D2719" s="279">
        <v>45923</v>
      </c>
      <c r="E2719" s="279">
        <v>45923</v>
      </c>
      <c r="F2719" s="132"/>
      <c r="G2719" s="132" t="s">
        <v>1108</v>
      </c>
      <c r="H2719" s="132" t="s">
        <v>373</v>
      </c>
      <c r="I2719" s="132" t="s">
        <v>1100</v>
      </c>
      <c r="J2719" s="132" t="s">
        <v>6638</v>
      </c>
      <c r="K2719" s="132" t="s">
        <v>3681</v>
      </c>
      <c r="L2719" s="132" t="s">
        <v>6639</v>
      </c>
      <c r="M2719" s="132" t="s">
        <v>6999</v>
      </c>
      <c r="N2719" s="132" t="s">
        <v>1117</v>
      </c>
      <c r="O2719" s="132" t="s">
        <v>7000</v>
      </c>
      <c r="P2719" s="132" t="s">
        <v>6905</v>
      </c>
      <c r="Q2719" s="132">
        <v>10463</v>
      </c>
    </row>
    <row r="2720" spans="1:17" x14ac:dyDescent="0.2">
      <c r="A2720" t="s">
        <v>295</v>
      </c>
      <c r="B2720" s="141">
        <f t="shared" si="43"/>
        <v>24.22</v>
      </c>
      <c r="C2720" s="280">
        <v>45919</v>
      </c>
      <c r="D2720" s="279">
        <v>45923</v>
      </c>
      <c r="E2720" s="279">
        <v>45923</v>
      </c>
      <c r="F2720" s="132"/>
      <c r="G2720" s="132" t="s">
        <v>1108</v>
      </c>
      <c r="H2720" s="132" t="s">
        <v>373</v>
      </c>
      <c r="I2720" s="132" t="s">
        <v>1100</v>
      </c>
      <c r="J2720" s="132" t="s">
        <v>6627</v>
      </c>
      <c r="K2720" s="132" t="s">
        <v>6628</v>
      </c>
      <c r="L2720" s="132" t="s">
        <v>3459</v>
      </c>
      <c r="M2720" s="132" t="s">
        <v>7001</v>
      </c>
      <c r="N2720" s="132" t="s">
        <v>1117</v>
      </c>
      <c r="O2720" s="132" t="s">
        <v>7002</v>
      </c>
      <c r="P2720" s="132" t="s">
        <v>6905</v>
      </c>
      <c r="Q2720" s="132">
        <v>10462</v>
      </c>
    </row>
    <row r="2721" spans="1:17" x14ac:dyDescent="0.2">
      <c r="A2721" t="s">
        <v>295</v>
      </c>
      <c r="B2721" s="141">
        <f t="shared" si="43"/>
        <v>24.22</v>
      </c>
      <c r="C2721" s="280">
        <v>45919</v>
      </c>
      <c r="D2721" s="279">
        <v>45923</v>
      </c>
      <c r="E2721" s="279">
        <v>45923</v>
      </c>
      <c r="F2721" s="132"/>
      <c r="G2721" s="132" t="s">
        <v>1108</v>
      </c>
      <c r="H2721" s="132" t="s">
        <v>373</v>
      </c>
      <c r="I2721" s="132" t="s">
        <v>1100</v>
      </c>
      <c r="J2721" s="132" t="s">
        <v>6627</v>
      </c>
      <c r="K2721" s="132" t="s">
        <v>6628</v>
      </c>
      <c r="L2721" s="132" t="s">
        <v>3459</v>
      </c>
      <c r="M2721" s="132" t="s">
        <v>7003</v>
      </c>
      <c r="N2721" s="132" t="s">
        <v>4957</v>
      </c>
      <c r="O2721" s="132" t="s">
        <v>7004</v>
      </c>
      <c r="P2721" s="132" t="s">
        <v>6905</v>
      </c>
      <c r="Q2721" s="132">
        <v>10461</v>
      </c>
    </row>
    <row r="2722" spans="1:17" x14ac:dyDescent="0.2">
      <c r="A2722" t="s">
        <v>295</v>
      </c>
      <c r="B2722" s="141">
        <f t="shared" si="43"/>
        <v>19.32</v>
      </c>
      <c r="C2722" s="280">
        <v>45919</v>
      </c>
      <c r="D2722" s="279">
        <v>45923</v>
      </c>
      <c r="E2722" s="279">
        <v>45923</v>
      </c>
      <c r="F2722" s="132"/>
      <c r="G2722" s="132" t="s">
        <v>1108</v>
      </c>
      <c r="H2722" s="132" t="s">
        <v>373</v>
      </c>
      <c r="I2722" s="132" t="s">
        <v>1100</v>
      </c>
      <c r="J2722" s="132" t="s">
        <v>6638</v>
      </c>
      <c r="K2722" s="132" t="s">
        <v>3681</v>
      </c>
      <c r="L2722" s="132" t="s">
        <v>6639</v>
      </c>
      <c r="M2722" s="132" t="s">
        <v>7005</v>
      </c>
      <c r="N2722" s="132" t="s">
        <v>1117</v>
      </c>
      <c r="O2722" s="132" t="s">
        <v>7006</v>
      </c>
      <c r="P2722" s="132" t="s">
        <v>6905</v>
      </c>
      <c r="Q2722" s="132">
        <v>10460</v>
      </c>
    </row>
    <row r="2723" spans="1:17" x14ac:dyDescent="0.2">
      <c r="A2723" t="s">
        <v>295</v>
      </c>
      <c r="B2723" s="141">
        <f t="shared" si="43"/>
        <v>19.2</v>
      </c>
      <c r="C2723" s="280">
        <v>45919</v>
      </c>
      <c r="D2723" s="279">
        <v>45923</v>
      </c>
      <c r="E2723" s="279">
        <v>45923</v>
      </c>
      <c r="F2723" s="132"/>
      <c r="G2723" s="132" t="s">
        <v>1108</v>
      </c>
      <c r="H2723" s="132" t="s">
        <v>373</v>
      </c>
      <c r="I2723" s="132" t="s">
        <v>1100</v>
      </c>
      <c r="J2723" s="132" t="s">
        <v>6638</v>
      </c>
      <c r="K2723" s="132" t="s">
        <v>3969</v>
      </c>
      <c r="L2723" s="132" t="s">
        <v>6739</v>
      </c>
      <c r="M2723" s="132" t="s">
        <v>7007</v>
      </c>
      <c r="N2723" s="132" t="s">
        <v>1112</v>
      </c>
      <c r="O2723" s="132" t="s">
        <v>7008</v>
      </c>
      <c r="P2723" s="132" t="s">
        <v>6905</v>
      </c>
      <c r="Q2723" s="132">
        <v>10459</v>
      </c>
    </row>
    <row r="2724" spans="1:17" x14ac:dyDescent="0.2">
      <c r="A2724" t="s">
        <v>295</v>
      </c>
      <c r="B2724" s="141">
        <f t="shared" si="43"/>
        <v>14.41</v>
      </c>
      <c r="C2724" s="280">
        <v>45919</v>
      </c>
      <c r="D2724" s="279">
        <v>45923</v>
      </c>
      <c r="E2724" s="279">
        <v>45923</v>
      </c>
      <c r="F2724" s="132"/>
      <c r="G2724" s="132" t="s">
        <v>1108</v>
      </c>
      <c r="H2724" s="132" t="s">
        <v>373</v>
      </c>
      <c r="I2724" s="132" t="s">
        <v>1100</v>
      </c>
      <c r="J2724" s="132" t="s">
        <v>6650</v>
      </c>
      <c r="K2724" s="132" t="s">
        <v>6715</v>
      </c>
      <c r="L2724" s="132" t="s">
        <v>1314</v>
      </c>
      <c r="M2724" s="132" t="s">
        <v>7009</v>
      </c>
      <c r="N2724" s="132" t="s">
        <v>1117</v>
      </c>
      <c r="O2724" s="132" t="s">
        <v>7010</v>
      </c>
      <c r="P2724" s="132" t="s">
        <v>6905</v>
      </c>
      <c r="Q2724" s="132">
        <v>10458</v>
      </c>
    </row>
    <row r="2725" spans="1:17" x14ac:dyDescent="0.2">
      <c r="A2725" t="s">
        <v>295</v>
      </c>
      <c r="B2725" s="141">
        <f t="shared" si="43"/>
        <v>19.32</v>
      </c>
      <c r="C2725" s="280">
        <v>45919</v>
      </c>
      <c r="D2725" s="279">
        <v>45923</v>
      </c>
      <c r="E2725" s="279">
        <v>45923</v>
      </c>
      <c r="F2725" s="132"/>
      <c r="G2725" s="132" t="s">
        <v>1108</v>
      </c>
      <c r="H2725" s="132" t="s">
        <v>373</v>
      </c>
      <c r="I2725" s="132" t="s">
        <v>1100</v>
      </c>
      <c r="J2725" s="132" t="s">
        <v>6638</v>
      </c>
      <c r="K2725" s="132" t="s">
        <v>3681</v>
      </c>
      <c r="L2725" s="132" t="s">
        <v>6639</v>
      </c>
      <c r="M2725" s="132" t="s">
        <v>7011</v>
      </c>
      <c r="N2725" s="132" t="s">
        <v>1117</v>
      </c>
      <c r="O2725" s="132" t="s">
        <v>7012</v>
      </c>
      <c r="P2725" s="132" t="s">
        <v>6905</v>
      </c>
      <c r="Q2725" s="132">
        <v>10457</v>
      </c>
    </row>
    <row r="2726" spans="1:17" x14ac:dyDescent="0.2">
      <c r="A2726" t="s">
        <v>295</v>
      </c>
      <c r="B2726" s="141">
        <f t="shared" si="43"/>
        <v>14.41</v>
      </c>
      <c r="C2726" s="280">
        <v>45919</v>
      </c>
      <c r="D2726" s="279">
        <v>45923</v>
      </c>
      <c r="E2726" s="279">
        <v>45923</v>
      </c>
      <c r="F2726" s="132"/>
      <c r="G2726" s="132" t="s">
        <v>1108</v>
      </c>
      <c r="H2726" s="132" t="s">
        <v>373</v>
      </c>
      <c r="I2726" s="132" t="s">
        <v>1100</v>
      </c>
      <c r="J2726" s="132" t="s">
        <v>6650</v>
      </c>
      <c r="K2726" s="132" t="s">
        <v>6715</v>
      </c>
      <c r="L2726" s="132" t="s">
        <v>1314</v>
      </c>
      <c r="M2726" s="132" t="s">
        <v>7013</v>
      </c>
      <c r="N2726" s="132" t="s">
        <v>1117</v>
      </c>
      <c r="O2726" s="132" t="s">
        <v>7014</v>
      </c>
      <c r="P2726" s="132" t="s">
        <v>6905</v>
      </c>
      <c r="Q2726" s="132">
        <v>10456</v>
      </c>
    </row>
    <row r="2727" spans="1:17" x14ac:dyDescent="0.2">
      <c r="A2727" t="s">
        <v>295</v>
      </c>
      <c r="B2727" s="141">
        <f t="shared" si="43"/>
        <v>24.22</v>
      </c>
      <c r="C2727" s="280">
        <v>45919</v>
      </c>
      <c r="D2727" s="279">
        <v>45923</v>
      </c>
      <c r="E2727" s="279">
        <v>45923</v>
      </c>
      <c r="F2727" s="132"/>
      <c r="G2727" s="132" t="s">
        <v>1108</v>
      </c>
      <c r="H2727" s="132" t="s">
        <v>373</v>
      </c>
      <c r="I2727" s="132" t="s">
        <v>1100</v>
      </c>
      <c r="J2727" s="132" t="s">
        <v>6627</v>
      </c>
      <c r="K2727" s="132" t="s">
        <v>6628</v>
      </c>
      <c r="L2727" s="132" t="s">
        <v>3459</v>
      </c>
      <c r="M2727" s="132" t="s">
        <v>7015</v>
      </c>
      <c r="N2727" s="132" t="s">
        <v>1117</v>
      </c>
      <c r="O2727" s="132" t="s">
        <v>7016</v>
      </c>
      <c r="P2727" s="132" t="s">
        <v>6905</v>
      </c>
      <c r="Q2727" s="132">
        <v>10455</v>
      </c>
    </row>
    <row r="2728" spans="1:17" x14ac:dyDescent="0.2">
      <c r="A2728" t="s">
        <v>295</v>
      </c>
      <c r="B2728" s="141">
        <f t="shared" si="43"/>
        <v>14.32</v>
      </c>
      <c r="C2728" s="280">
        <v>45919</v>
      </c>
      <c r="D2728" s="279">
        <v>45923</v>
      </c>
      <c r="E2728" s="279">
        <v>45923</v>
      </c>
      <c r="F2728" s="132"/>
      <c r="G2728" s="132" t="s">
        <v>1108</v>
      </c>
      <c r="H2728" s="132" t="s">
        <v>373</v>
      </c>
      <c r="I2728" s="132" t="s">
        <v>1100</v>
      </c>
      <c r="J2728" s="132" t="s">
        <v>6650</v>
      </c>
      <c r="K2728" s="132" t="s">
        <v>3681</v>
      </c>
      <c r="L2728" s="132" t="s">
        <v>1190</v>
      </c>
      <c r="M2728" s="132" t="s">
        <v>7017</v>
      </c>
      <c r="N2728" s="132" t="s">
        <v>1112</v>
      </c>
      <c r="O2728" s="132" t="s">
        <v>7018</v>
      </c>
      <c r="P2728" s="132" t="s">
        <v>6905</v>
      </c>
      <c r="Q2728" s="132">
        <v>10454</v>
      </c>
    </row>
    <row r="2729" spans="1:17" x14ac:dyDescent="0.2">
      <c r="A2729" t="s">
        <v>295</v>
      </c>
      <c r="B2729" s="141">
        <f t="shared" si="43"/>
        <v>14.32</v>
      </c>
      <c r="C2729" s="280">
        <v>45919</v>
      </c>
      <c r="D2729" s="279">
        <v>45923</v>
      </c>
      <c r="E2729" s="279">
        <v>45923</v>
      </c>
      <c r="F2729" s="132"/>
      <c r="G2729" s="132" t="s">
        <v>1108</v>
      </c>
      <c r="H2729" s="132" t="s">
        <v>373</v>
      </c>
      <c r="I2729" s="132" t="s">
        <v>1100</v>
      </c>
      <c r="J2729" s="132" t="s">
        <v>6650</v>
      </c>
      <c r="K2729" s="132" t="s">
        <v>3681</v>
      </c>
      <c r="L2729" s="132" t="s">
        <v>1190</v>
      </c>
      <c r="M2729" s="132" t="s">
        <v>7019</v>
      </c>
      <c r="N2729" s="132" t="s">
        <v>1112</v>
      </c>
      <c r="O2729" s="132" t="s">
        <v>7020</v>
      </c>
      <c r="P2729" s="132" t="s">
        <v>6905</v>
      </c>
      <c r="Q2729" s="132">
        <v>10453</v>
      </c>
    </row>
    <row r="2730" spans="1:17" x14ac:dyDescent="0.2">
      <c r="A2730" t="s">
        <v>295</v>
      </c>
      <c r="B2730" s="141">
        <f t="shared" si="43"/>
        <v>19.32</v>
      </c>
      <c r="C2730" s="280">
        <v>45919</v>
      </c>
      <c r="D2730" s="279">
        <v>45923</v>
      </c>
      <c r="E2730" s="279">
        <v>45923</v>
      </c>
      <c r="F2730" s="132"/>
      <c r="G2730" s="132" t="s">
        <v>1108</v>
      </c>
      <c r="H2730" s="132" t="s">
        <v>373</v>
      </c>
      <c r="I2730" s="132" t="s">
        <v>1100</v>
      </c>
      <c r="J2730" s="132" t="s">
        <v>6638</v>
      </c>
      <c r="K2730" s="132" t="s">
        <v>3681</v>
      </c>
      <c r="L2730" s="132" t="s">
        <v>6639</v>
      </c>
      <c r="M2730" s="132" t="s">
        <v>7021</v>
      </c>
      <c r="N2730" s="132" t="s">
        <v>1117</v>
      </c>
      <c r="O2730" s="132" t="s">
        <v>7022</v>
      </c>
      <c r="P2730" s="132" t="s">
        <v>6905</v>
      </c>
      <c r="Q2730" s="132">
        <v>10452</v>
      </c>
    </row>
    <row r="2731" spans="1:17" x14ac:dyDescent="0.2">
      <c r="A2731" t="s">
        <v>295</v>
      </c>
      <c r="B2731" s="141">
        <f t="shared" si="43"/>
        <v>14.41</v>
      </c>
      <c r="C2731" s="280">
        <v>45919</v>
      </c>
      <c r="D2731" s="279">
        <v>45923</v>
      </c>
      <c r="E2731" s="279">
        <v>45923</v>
      </c>
      <c r="F2731" s="132"/>
      <c r="G2731" s="132" t="s">
        <v>1108</v>
      </c>
      <c r="H2731" s="132" t="s">
        <v>373</v>
      </c>
      <c r="I2731" s="132" t="s">
        <v>1100</v>
      </c>
      <c r="J2731" s="132" t="s">
        <v>6650</v>
      </c>
      <c r="K2731" s="132" t="s">
        <v>6715</v>
      </c>
      <c r="L2731" s="132" t="s">
        <v>1314</v>
      </c>
      <c r="M2731" s="132" t="s">
        <v>7023</v>
      </c>
      <c r="N2731" s="132" t="s">
        <v>1117</v>
      </c>
      <c r="O2731" s="132" t="s">
        <v>7024</v>
      </c>
      <c r="P2731" s="132" t="s">
        <v>6905</v>
      </c>
      <c r="Q2731" s="132">
        <v>10451</v>
      </c>
    </row>
    <row r="2732" spans="1:17" x14ac:dyDescent="0.2">
      <c r="A2732" t="s">
        <v>295</v>
      </c>
      <c r="B2732" s="141">
        <f t="shared" si="43"/>
        <v>14.41</v>
      </c>
      <c r="C2732" s="280">
        <v>45919</v>
      </c>
      <c r="D2732" s="279">
        <v>45923</v>
      </c>
      <c r="E2732" s="279">
        <v>45923</v>
      </c>
      <c r="F2732" s="132"/>
      <c r="G2732" s="132" t="s">
        <v>5089</v>
      </c>
      <c r="H2732" s="132" t="s">
        <v>373</v>
      </c>
      <c r="I2732" s="132" t="s">
        <v>1100</v>
      </c>
      <c r="J2732" s="132" t="s">
        <v>6650</v>
      </c>
      <c r="K2732" s="132" t="s">
        <v>6715</v>
      </c>
      <c r="L2732" s="132" t="s">
        <v>1314</v>
      </c>
      <c r="M2732" s="132" t="s">
        <v>7025</v>
      </c>
      <c r="N2732" s="132" t="s">
        <v>1105</v>
      </c>
      <c r="O2732" s="132" t="s">
        <v>7026</v>
      </c>
      <c r="P2732" s="132" t="s">
        <v>6905</v>
      </c>
      <c r="Q2732" s="132">
        <v>10450</v>
      </c>
    </row>
    <row r="2733" spans="1:17" x14ac:dyDescent="0.2">
      <c r="A2733" t="s">
        <v>295</v>
      </c>
      <c r="B2733" s="141">
        <f t="shared" si="43"/>
        <v>14.41</v>
      </c>
      <c r="C2733" s="280">
        <v>45919</v>
      </c>
      <c r="D2733" s="279">
        <v>45923</v>
      </c>
      <c r="E2733" s="279">
        <v>45923</v>
      </c>
      <c r="F2733" s="132"/>
      <c r="G2733" s="132" t="s">
        <v>1108</v>
      </c>
      <c r="H2733" s="132" t="s">
        <v>373</v>
      </c>
      <c r="I2733" s="132" t="s">
        <v>1100</v>
      </c>
      <c r="J2733" s="132" t="s">
        <v>6650</v>
      </c>
      <c r="K2733" s="132" t="s">
        <v>6715</v>
      </c>
      <c r="L2733" s="132" t="s">
        <v>1314</v>
      </c>
      <c r="M2733" s="132" t="s">
        <v>7027</v>
      </c>
      <c r="N2733" s="132" t="s">
        <v>1117</v>
      </c>
      <c r="O2733" s="132" t="s">
        <v>7028</v>
      </c>
      <c r="P2733" s="132" t="s">
        <v>6905</v>
      </c>
      <c r="Q2733" s="132">
        <v>10449</v>
      </c>
    </row>
    <row r="2734" spans="1:17" x14ac:dyDescent="0.2">
      <c r="A2734" t="s">
        <v>295</v>
      </c>
      <c r="B2734" s="141">
        <f t="shared" ref="B2734:B2797" si="44">_xlfn.NUMBERVALUE(L2734)*0.01</f>
        <v>14.41</v>
      </c>
      <c r="C2734" s="280">
        <v>45919</v>
      </c>
      <c r="D2734" s="279">
        <v>45923</v>
      </c>
      <c r="E2734" s="279">
        <v>45923</v>
      </c>
      <c r="F2734" s="132"/>
      <c r="G2734" s="132" t="s">
        <v>4721</v>
      </c>
      <c r="H2734" s="132" t="s">
        <v>373</v>
      </c>
      <c r="I2734" s="132" t="s">
        <v>1100</v>
      </c>
      <c r="J2734" s="132" t="s">
        <v>6650</v>
      </c>
      <c r="K2734" s="132" t="s">
        <v>6715</v>
      </c>
      <c r="L2734" s="132" t="s">
        <v>1314</v>
      </c>
      <c r="M2734" s="132" t="s">
        <v>7029</v>
      </c>
      <c r="N2734" s="132" t="s">
        <v>1105</v>
      </c>
      <c r="O2734" s="132" t="s">
        <v>7030</v>
      </c>
      <c r="P2734" s="132" t="s">
        <v>6905</v>
      </c>
      <c r="Q2734" s="132">
        <v>10448</v>
      </c>
    </row>
    <row r="2735" spans="1:17" x14ac:dyDescent="0.2">
      <c r="A2735" t="s">
        <v>295</v>
      </c>
      <c r="B2735" s="141">
        <f t="shared" si="44"/>
        <v>19.32</v>
      </c>
      <c r="C2735" s="280">
        <v>45919</v>
      </c>
      <c r="D2735" s="279">
        <v>45923</v>
      </c>
      <c r="E2735" s="279">
        <v>45923</v>
      </c>
      <c r="F2735" s="132"/>
      <c r="G2735" s="132" t="s">
        <v>1108</v>
      </c>
      <c r="H2735" s="132" t="s">
        <v>373</v>
      </c>
      <c r="I2735" s="132" t="s">
        <v>1100</v>
      </c>
      <c r="J2735" s="132" t="s">
        <v>6638</v>
      </c>
      <c r="K2735" s="132" t="s">
        <v>3681</v>
      </c>
      <c r="L2735" s="132" t="s">
        <v>6639</v>
      </c>
      <c r="M2735" s="132" t="s">
        <v>7031</v>
      </c>
      <c r="N2735" s="132" t="s">
        <v>1117</v>
      </c>
      <c r="O2735" s="132" t="s">
        <v>7032</v>
      </c>
      <c r="P2735" s="132" t="s">
        <v>6905</v>
      </c>
      <c r="Q2735" s="132">
        <v>10447</v>
      </c>
    </row>
    <row r="2736" spans="1:17" x14ac:dyDescent="0.2">
      <c r="A2736" t="s">
        <v>295</v>
      </c>
      <c r="B2736" s="141">
        <f t="shared" si="44"/>
        <v>14.41</v>
      </c>
      <c r="C2736" s="280">
        <v>45919</v>
      </c>
      <c r="D2736" s="279">
        <v>45923</v>
      </c>
      <c r="E2736" s="279">
        <v>45923</v>
      </c>
      <c r="F2736" s="132"/>
      <c r="G2736" s="132" t="s">
        <v>1108</v>
      </c>
      <c r="H2736" s="132" t="s">
        <v>373</v>
      </c>
      <c r="I2736" s="132" t="s">
        <v>1100</v>
      </c>
      <c r="J2736" s="132" t="s">
        <v>6650</v>
      </c>
      <c r="K2736" s="132" t="s">
        <v>6715</v>
      </c>
      <c r="L2736" s="132" t="s">
        <v>1314</v>
      </c>
      <c r="M2736" s="132" t="s">
        <v>7033</v>
      </c>
      <c r="N2736" s="132" t="s">
        <v>1117</v>
      </c>
      <c r="O2736" s="132" t="s">
        <v>7034</v>
      </c>
      <c r="P2736" s="132" t="s">
        <v>6905</v>
      </c>
      <c r="Q2736" s="132">
        <v>10446</v>
      </c>
    </row>
    <row r="2737" spans="1:17" x14ac:dyDescent="0.2">
      <c r="A2737" t="s">
        <v>295</v>
      </c>
      <c r="B2737" s="141">
        <f t="shared" si="44"/>
        <v>14.41</v>
      </c>
      <c r="C2737" s="280">
        <v>45919</v>
      </c>
      <c r="D2737" s="279">
        <v>45923</v>
      </c>
      <c r="E2737" s="279">
        <v>45923</v>
      </c>
      <c r="F2737" s="132"/>
      <c r="G2737" s="132" t="s">
        <v>5173</v>
      </c>
      <c r="H2737" s="132" t="s">
        <v>373</v>
      </c>
      <c r="I2737" s="132" t="s">
        <v>1100</v>
      </c>
      <c r="J2737" s="132" t="s">
        <v>6650</v>
      </c>
      <c r="K2737" s="132" t="s">
        <v>6715</v>
      </c>
      <c r="L2737" s="132" t="s">
        <v>1314</v>
      </c>
      <c r="M2737" s="132" t="s">
        <v>7035</v>
      </c>
      <c r="N2737" s="132" t="s">
        <v>1105</v>
      </c>
      <c r="O2737" s="132" t="s">
        <v>7036</v>
      </c>
      <c r="P2737" s="132" t="s">
        <v>6905</v>
      </c>
      <c r="Q2737" s="132">
        <v>10445</v>
      </c>
    </row>
    <row r="2738" spans="1:17" x14ac:dyDescent="0.2">
      <c r="A2738" t="s">
        <v>295</v>
      </c>
      <c r="B2738" s="141">
        <f t="shared" si="44"/>
        <v>14.32</v>
      </c>
      <c r="C2738" s="280">
        <v>45919</v>
      </c>
      <c r="D2738" s="279">
        <v>45923</v>
      </c>
      <c r="E2738" s="279">
        <v>45923</v>
      </c>
      <c r="F2738" s="132"/>
      <c r="G2738" s="132" t="s">
        <v>1108</v>
      </c>
      <c r="H2738" s="132" t="s">
        <v>373</v>
      </c>
      <c r="I2738" s="132" t="s">
        <v>1100</v>
      </c>
      <c r="J2738" s="132" t="s">
        <v>6650</v>
      </c>
      <c r="K2738" s="132" t="s">
        <v>3681</v>
      </c>
      <c r="L2738" s="132" t="s">
        <v>1190</v>
      </c>
      <c r="M2738" s="132" t="s">
        <v>7037</v>
      </c>
      <c r="N2738" s="132" t="s">
        <v>1112</v>
      </c>
      <c r="O2738" s="132" t="s">
        <v>7038</v>
      </c>
      <c r="P2738" s="132" t="s">
        <v>6905</v>
      </c>
      <c r="Q2738" s="132">
        <v>10444</v>
      </c>
    </row>
    <row r="2739" spans="1:17" x14ac:dyDescent="0.2">
      <c r="A2739" t="s">
        <v>295</v>
      </c>
      <c r="B2739" s="141">
        <f t="shared" si="44"/>
        <v>14.41</v>
      </c>
      <c r="C2739" s="280">
        <v>45919</v>
      </c>
      <c r="D2739" s="279">
        <v>45923</v>
      </c>
      <c r="E2739" s="279">
        <v>45923</v>
      </c>
      <c r="F2739" s="132"/>
      <c r="G2739" s="132" t="s">
        <v>1108</v>
      </c>
      <c r="H2739" s="132" t="s">
        <v>373</v>
      </c>
      <c r="I2739" s="132" t="s">
        <v>1100</v>
      </c>
      <c r="J2739" s="132" t="s">
        <v>6650</v>
      </c>
      <c r="K2739" s="132" t="s">
        <v>6715</v>
      </c>
      <c r="L2739" s="132" t="s">
        <v>1314</v>
      </c>
      <c r="M2739" s="132" t="s">
        <v>7039</v>
      </c>
      <c r="N2739" s="132" t="s">
        <v>1117</v>
      </c>
      <c r="O2739" s="132" t="s">
        <v>7040</v>
      </c>
      <c r="P2739" s="132" t="s">
        <v>6905</v>
      </c>
      <c r="Q2739" s="132">
        <v>10443</v>
      </c>
    </row>
    <row r="2740" spans="1:17" x14ac:dyDescent="0.2">
      <c r="A2740" t="s">
        <v>295</v>
      </c>
      <c r="B2740" s="141">
        <f t="shared" si="44"/>
        <v>19.32</v>
      </c>
      <c r="C2740" s="280">
        <v>45919</v>
      </c>
      <c r="D2740" s="279">
        <v>45923</v>
      </c>
      <c r="E2740" s="279">
        <v>45923</v>
      </c>
      <c r="F2740" s="132"/>
      <c r="G2740" s="132" t="s">
        <v>1108</v>
      </c>
      <c r="H2740" s="132" t="s">
        <v>373</v>
      </c>
      <c r="I2740" s="132" t="s">
        <v>1100</v>
      </c>
      <c r="J2740" s="132" t="s">
        <v>6638</v>
      </c>
      <c r="K2740" s="132" t="s">
        <v>3681</v>
      </c>
      <c r="L2740" s="132" t="s">
        <v>6639</v>
      </c>
      <c r="M2740" s="132" t="s">
        <v>7041</v>
      </c>
      <c r="N2740" s="132" t="s">
        <v>1117</v>
      </c>
      <c r="O2740" s="132" t="s">
        <v>7042</v>
      </c>
      <c r="P2740" s="132" t="s">
        <v>6905</v>
      </c>
      <c r="Q2740" s="132">
        <v>10442</v>
      </c>
    </row>
    <row r="2741" spans="1:17" x14ac:dyDescent="0.2">
      <c r="A2741" t="s">
        <v>295</v>
      </c>
      <c r="B2741" s="141">
        <f t="shared" si="44"/>
        <v>19.32</v>
      </c>
      <c r="C2741" s="280">
        <v>45919</v>
      </c>
      <c r="D2741" s="279">
        <v>45923</v>
      </c>
      <c r="E2741" s="279">
        <v>45923</v>
      </c>
      <c r="F2741" s="132"/>
      <c r="G2741" s="132" t="s">
        <v>1108</v>
      </c>
      <c r="H2741" s="132" t="s">
        <v>373</v>
      </c>
      <c r="I2741" s="132" t="s">
        <v>1100</v>
      </c>
      <c r="J2741" s="132" t="s">
        <v>6638</v>
      </c>
      <c r="K2741" s="132" t="s">
        <v>3681</v>
      </c>
      <c r="L2741" s="132" t="s">
        <v>6639</v>
      </c>
      <c r="M2741" s="132" t="s">
        <v>7043</v>
      </c>
      <c r="N2741" s="132" t="s">
        <v>1117</v>
      </c>
      <c r="O2741" s="132" t="s">
        <v>7044</v>
      </c>
      <c r="P2741" s="132" t="s">
        <v>6905</v>
      </c>
      <c r="Q2741" s="132">
        <v>10441</v>
      </c>
    </row>
    <row r="2742" spans="1:17" x14ac:dyDescent="0.2">
      <c r="A2742" t="s">
        <v>295</v>
      </c>
      <c r="B2742" s="141">
        <f t="shared" si="44"/>
        <v>14.32</v>
      </c>
      <c r="C2742" s="280">
        <v>45919</v>
      </c>
      <c r="D2742" s="279">
        <v>45923</v>
      </c>
      <c r="E2742" s="279">
        <v>45923</v>
      </c>
      <c r="F2742" s="132"/>
      <c r="G2742" s="132" t="s">
        <v>1108</v>
      </c>
      <c r="H2742" s="132" t="s">
        <v>373</v>
      </c>
      <c r="I2742" s="132" t="s">
        <v>1100</v>
      </c>
      <c r="J2742" s="132" t="s">
        <v>6650</v>
      </c>
      <c r="K2742" s="132" t="s">
        <v>3681</v>
      </c>
      <c r="L2742" s="132" t="s">
        <v>1190</v>
      </c>
      <c r="M2742" s="132" t="s">
        <v>7045</v>
      </c>
      <c r="N2742" s="132" t="s">
        <v>1112</v>
      </c>
      <c r="O2742" s="132" t="s">
        <v>7046</v>
      </c>
      <c r="P2742" s="132" t="s">
        <v>6905</v>
      </c>
      <c r="Q2742" s="132">
        <v>10440</v>
      </c>
    </row>
    <row r="2743" spans="1:17" x14ac:dyDescent="0.2">
      <c r="A2743" t="s">
        <v>295</v>
      </c>
      <c r="B2743" s="141">
        <f t="shared" si="44"/>
        <v>14.41</v>
      </c>
      <c r="C2743" s="280">
        <v>45919</v>
      </c>
      <c r="D2743" s="279">
        <v>45923</v>
      </c>
      <c r="E2743" s="279">
        <v>45923</v>
      </c>
      <c r="F2743" s="132"/>
      <c r="G2743" s="132" t="s">
        <v>1108</v>
      </c>
      <c r="H2743" s="132" t="s">
        <v>373</v>
      </c>
      <c r="I2743" s="132" t="s">
        <v>1100</v>
      </c>
      <c r="J2743" s="132" t="s">
        <v>6650</v>
      </c>
      <c r="K2743" s="132" t="s">
        <v>6715</v>
      </c>
      <c r="L2743" s="132" t="s">
        <v>1314</v>
      </c>
      <c r="M2743" s="132" t="s">
        <v>7047</v>
      </c>
      <c r="N2743" s="132" t="s">
        <v>1117</v>
      </c>
      <c r="O2743" s="132" t="s">
        <v>7048</v>
      </c>
      <c r="P2743" s="132" t="s">
        <v>6905</v>
      </c>
      <c r="Q2743" s="132">
        <v>10439</v>
      </c>
    </row>
    <row r="2744" spans="1:17" x14ac:dyDescent="0.2">
      <c r="A2744" t="s">
        <v>295</v>
      </c>
      <c r="B2744" s="141">
        <f t="shared" si="44"/>
        <v>14.41</v>
      </c>
      <c r="C2744" s="280">
        <v>45919</v>
      </c>
      <c r="D2744" s="279">
        <v>45923</v>
      </c>
      <c r="E2744" s="279">
        <v>45923</v>
      </c>
      <c r="F2744" s="132"/>
      <c r="G2744" s="132" t="s">
        <v>1108</v>
      </c>
      <c r="H2744" s="132" t="s">
        <v>373</v>
      </c>
      <c r="I2744" s="132" t="s">
        <v>1100</v>
      </c>
      <c r="J2744" s="132" t="s">
        <v>6650</v>
      </c>
      <c r="K2744" s="132" t="s">
        <v>6715</v>
      </c>
      <c r="L2744" s="132" t="s">
        <v>1314</v>
      </c>
      <c r="M2744" s="132" t="s">
        <v>7049</v>
      </c>
      <c r="N2744" s="132" t="s">
        <v>1117</v>
      </c>
      <c r="O2744" s="132" t="s">
        <v>7050</v>
      </c>
      <c r="P2744" s="132" t="s">
        <v>6905</v>
      </c>
      <c r="Q2744" s="132">
        <v>10438</v>
      </c>
    </row>
    <row r="2745" spans="1:17" x14ac:dyDescent="0.2">
      <c r="A2745" t="s">
        <v>163</v>
      </c>
      <c r="B2745" s="141">
        <f t="shared" si="44"/>
        <v>6.57</v>
      </c>
      <c r="C2745" s="280">
        <v>45923</v>
      </c>
      <c r="D2745" s="279">
        <v>45925</v>
      </c>
      <c r="E2745" s="279">
        <v>45925</v>
      </c>
      <c r="F2745" s="132"/>
      <c r="G2745" s="132" t="s">
        <v>1108</v>
      </c>
      <c r="H2745" s="132" t="s">
        <v>373</v>
      </c>
      <c r="I2745" s="132" t="s">
        <v>1100</v>
      </c>
      <c r="J2745" s="132" t="s">
        <v>2750</v>
      </c>
      <c r="K2745" s="132" t="s">
        <v>7051</v>
      </c>
      <c r="L2745" s="132" t="s">
        <v>2265</v>
      </c>
      <c r="M2745" s="132" t="s">
        <v>7052</v>
      </c>
      <c r="N2745" s="132" t="s">
        <v>1117</v>
      </c>
      <c r="O2745" s="132" t="s">
        <v>7053</v>
      </c>
      <c r="P2745" s="132" t="s">
        <v>7054</v>
      </c>
      <c r="Q2745" s="132" t="s">
        <v>1108</v>
      </c>
    </row>
    <row r="2746" spans="1:17" x14ac:dyDescent="0.2">
      <c r="A2746" s="664" t="s">
        <v>164</v>
      </c>
      <c r="B2746" s="647">
        <f>_xlfn.NUMBERVALUE(L2746)*0.01</f>
        <v>8.4700000000000006</v>
      </c>
      <c r="C2746" s="648">
        <v>45923</v>
      </c>
      <c r="D2746" s="649">
        <v>45925</v>
      </c>
      <c r="E2746" s="649">
        <v>45925</v>
      </c>
      <c r="F2746" s="650"/>
      <c r="G2746" s="651" t="s">
        <v>1108</v>
      </c>
      <c r="H2746" s="651" t="s">
        <v>373</v>
      </c>
      <c r="I2746" s="651" t="s">
        <v>1100</v>
      </c>
      <c r="J2746" s="651" t="s">
        <v>2052</v>
      </c>
      <c r="K2746" s="651" t="s">
        <v>2053</v>
      </c>
      <c r="L2746" s="651" t="s">
        <v>2054</v>
      </c>
      <c r="M2746" s="651" t="s">
        <v>7055</v>
      </c>
      <c r="N2746" s="651" t="s">
        <v>1112</v>
      </c>
      <c r="O2746" s="652" t="s">
        <v>7056</v>
      </c>
      <c r="P2746" s="651" t="s">
        <v>7054</v>
      </c>
      <c r="Q2746" s="651" t="s">
        <v>1108</v>
      </c>
    </row>
    <row r="2747" spans="1:17" x14ac:dyDescent="0.2">
      <c r="A2747" t="s">
        <v>163</v>
      </c>
      <c r="B2747" s="141">
        <f t="shared" si="44"/>
        <v>6.57</v>
      </c>
      <c r="C2747" s="280">
        <v>45923</v>
      </c>
      <c r="D2747" s="279">
        <v>45925</v>
      </c>
      <c r="E2747" s="279">
        <v>45925</v>
      </c>
      <c r="F2747" s="132"/>
      <c r="G2747" s="132" t="s">
        <v>1108</v>
      </c>
      <c r="H2747" s="132" t="s">
        <v>373</v>
      </c>
      <c r="I2747" s="132" t="s">
        <v>1100</v>
      </c>
      <c r="J2747" s="132" t="s">
        <v>2750</v>
      </c>
      <c r="K2747" s="132" t="s">
        <v>7051</v>
      </c>
      <c r="L2747" s="132" t="s">
        <v>2265</v>
      </c>
      <c r="M2747" s="132" t="s">
        <v>7057</v>
      </c>
      <c r="N2747" s="132" t="s">
        <v>1117</v>
      </c>
      <c r="O2747" s="132" t="s">
        <v>7058</v>
      </c>
      <c r="P2747" s="132" t="s">
        <v>7054</v>
      </c>
      <c r="Q2747" s="132" t="s">
        <v>1108</v>
      </c>
    </row>
    <row r="2748" spans="1:17" x14ac:dyDescent="0.2">
      <c r="A2748" t="s">
        <v>163</v>
      </c>
      <c r="B2748" s="141">
        <f t="shared" si="44"/>
        <v>6.57</v>
      </c>
      <c r="C2748" s="280">
        <v>45923</v>
      </c>
      <c r="D2748" s="279">
        <v>45925</v>
      </c>
      <c r="E2748" s="279">
        <v>45925</v>
      </c>
      <c r="F2748" s="132"/>
      <c r="G2748" s="132" t="s">
        <v>1108</v>
      </c>
      <c r="H2748" s="132" t="s">
        <v>373</v>
      </c>
      <c r="I2748" s="132" t="s">
        <v>1100</v>
      </c>
      <c r="J2748" s="132" t="s">
        <v>2750</v>
      </c>
      <c r="K2748" s="132" t="s">
        <v>7051</v>
      </c>
      <c r="L2748" s="132" t="s">
        <v>2265</v>
      </c>
      <c r="M2748" s="132" t="s">
        <v>7059</v>
      </c>
      <c r="N2748" s="132" t="s">
        <v>1117</v>
      </c>
      <c r="O2748" s="132" t="s">
        <v>7060</v>
      </c>
      <c r="P2748" s="132" t="s">
        <v>7054</v>
      </c>
      <c r="Q2748" s="132" t="s">
        <v>1108</v>
      </c>
    </row>
    <row r="2749" spans="1:17" x14ac:dyDescent="0.2">
      <c r="A2749" s="664" t="s">
        <v>164</v>
      </c>
      <c r="B2749" s="141">
        <f t="shared" si="44"/>
        <v>8.5299999999999994</v>
      </c>
      <c r="C2749" s="280">
        <v>45923</v>
      </c>
      <c r="D2749" s="279">
        <v>45925</v>
      </c>
      <c r="E2749" s="279">
        <v>45925</v>
      </c>
      <c r="F2749" s="132"/>
      <c r="G2749" s="132" t="s">
        <v>4890</v>
      </c>
      <c r="H2749" s="132" t="s">
        <v>373</v>
      </c>
      <c r="I2749" s="132" t="s">
        <v>1100</v>
      </c>
      <c r="J2749" s="132" t="s">
        <v>2052</v>
      </c>
      <c r="K2749" s="132" t="s">
        <v>2170</v>
      </c>
      <c r="L2749" s="132" t="s">
        <v>2171</v>
      </c>
      <c r="M2749" s="132" t="s">
        <v>7061</v>
      </c>
      <c r="N2749" s="132" t="s">
        <v>1105</v>
      </c>
      <c r="O2749" s="132" t="s">
        <v>7062</v>
      </c>
      <c r="P2749" s="132" t="s">
        <v>7054</v>
      </c>
      <c r="Q2749" s="132" t="s">
        <v>1108</v>
      </c>
    </row>
    <row r="2750" spans="1:17" x14ac:dyDescent="0.2">
      <c r="A2750" s="664" t="s">
        <v>164</v>
      </c>
      <c r="B2750" s="141">
        <f t="shared" si="44"/>
        <v>8.5299999999999994</v>
      </c>
      <c r="C2750" s="280">
        <v>45923</v>
      </c>
      <c r="D2750" s="279">
        <v>45925</v>
      </c>
      <c r="E2750" s="279">
        <v>45925</v>
      </c>
      <c r="F2750" s="132"/>
      <c r="G2750" s="132" t="s">
        <v>1108</v>
      </c>
      <c r="H2750" s="132" t="s">
        <v>373</v>
      </c>
      <c r="I2750" s="132" t="s">
        <v>1100</v>
      </c>
      <c r="J2750" s="132" t="s">
        <v>2052</v>
      </c>
      <c r="K2750" s="132" t="s">
        <v>2170</v>
      </c>
      <c r="L2750" s="132" t="s">
        <v>2171</v>
      </c>
      <c r="M2750" s="132" t="s">
        <v>7063</v>
      </c>
      <c r="N2750" s="132" t="s">
        <v>1117</v>
      </c>
      <c r="O2750" s="132" t="s">
        <v>7064</v>
      </c>
      <c r="P2750" s="132" t="s">
        <v>7054</v>
      </c>
      <c r="Q2750" s="132" t="s">
        <v>1108</v>
      </c>
    </row>
    <row r="2751" spans="1:17" x14ac:dyDescent="0.2">
      <c r="A2751" t="s">
        <v>163</v>
      </c>
      <c r="B2751" s="141">
        <f t="shared" si="44"/>
        <v>6.57</v>
      </c>
      <c r="C2751" s="280">
        <v>45923</v>
      </c>
      <c r="D2751" s="279">
        <v>45925</v>
      </c>
      <c r="E2751" s="279">
        <v>45925</v>
      </c>
      <c r="F2751" s="132"/>
      <c r="G2751" s="132" t="s">
        <v>1108</v>
      </c>
      <c r="H2751" s="132" t="s">
        <v>373</v>
      </c>
      <c r="I2751" s="132" t="s">
        <v>1100</v>
      </c>
      <c r="J2751" s="132" t="s">
        <v>2750</v>
      </c>
      <c r="K2751" s="132" t="s">
        <v>7051</v>
      </c>
      <c r="L2751" s="132" t="s">
        <v>2265</v>
      </c>
      <c r="M2751" s="132" t="s">
        <v>7065</v>
      </c>
      <c r="N2751" s="132" t="s">
        <v>1117</v>
      </c>
      <c r="O2751" s="132" t="s">
        <v>7066</v>
      </c>
      <c r="P2751" s="132" t="s">
        <v>7054</v>
      </c>
      <c r="Q2751" s="132" t="s">
        <v>1108</v>
      </c>
    </row>
    <row r="2752" spans="1:17" x14ac:dyDescent="0.2">
      <c r="A2752" t="s">
        <v>163</v>
      </c>
      <c r="B2752" s="141">
        <f t="shared" si="44"/>
        <v>6.57</v>
      </c>
      <c r="C2752" s="280">
        <v>45923</v>
      </c>
      <c r="D2752" s="279">
        <v>45925</v>
      </c>
      <c r="E2752" s="279">
        <v>45925</v>
      </c>
      <c r="F2752" s="132"/>
      <c r="G2752" s="132" t="s">
        <v>1108</v>
      </c>
      <c r="H2752" s="132" t="s">
        <v>373</v>
      </c>
      <c r="I2752" s="132" t="s">
        <v>1100</v>
      </c>
      <c r="J2752" s="132" t="s">
        <v>2750</v>
      </c>
      <c r="K2752" s="132" t="s">
        <v>7051</v>
      </c>
      <c r="L2752" s="132" t="s">
        <v>2265</v>
      </c>
      <c r="M2752" s="132" t="s">
        <v>7067</v>
      </c>
      <c r="N2752" s="132" t="s">
        <v>1117</v>
      </c>
      <c r="O2752" s="132" t="s">
        <v>7068</v>
      </c>
      <c r="P2752" s="132" t="s">
        <v>7054</v>
      </c>
      <c r="Q2752" s="132" t="s">
        <v>1108</v>
      </c>
    </row>
    <row r="2753" spans="1:17" x14ac:dyDescent="0.2">
      <c r="A2753" t="s">
        <v>163</v>
      </c>
      <c r="B2753" s="141">
        <f t="shared" si="44"/>
        <v>6.57</v>
      </c>
      <c r="C2753" s="280">
        <v>45923</v>
      </c>
      <c r="D2753" s="279">
        <v>45925</v>
      </c>
      <c r="E2753" s="279">
        <v>45925</v>
      </c>
      <c r="F2753" s="132"/>
      <c r="G2753" s="132" t="s">
        <v>1421</v>
      </c>
      <c r="H2753" s="132" t="s">
        <v>373</v>
      </c>
      <c r="I2753" s="132" t="s">
        <v>1100</v>
      </c>
      <c r="J2753" s="132" t="s">
        <v>2750</v>
      </c>
      <c r="K2753" s="132" t="s">
        <v>7051</v>
      </c>
      <c r="L2753" s="132" t="s">
        <v>2265</v>
      </c>
      <c r="M2753" s="132" t="s">
        <v>7069</v>
      </c>
      <c r="N2753" s="132" t="s">
        <v>1105</v>
      </c>
      <c r="O2753" s="132" t="s">
        <v>7070</v>
      </c>
      <c r="P2753" s="132" t="s">
        <v>7054</v>
      </c>
      <c r="Q2753" s="132" t="s">
        <v>1108</v>
      </c>
    </row>
    <row r="2754" spans="1:17" x14ac:dyDescent="0.2">
      <c r="A2754" t="s">
        <v>163</v>
      </c>
      <c r="B2754" s="141">
        <f t="shared" si="44"/>
        <v>6.57</v>
      </c>
      <c r="C2754" s="280">
        <v>45923</v>
      </c>
      <c r="D2754" s="279">
        <v>45925</v>
      </c>
      <c r="E2754" s="279">
        <v>45925</v>
      </c>
      <c r="F2754" s="132"/>
      <c r="G2754" s="132" t="s">
        <v>1108</v>
      </c>
      <c r="H2754" s="132" t="s">
        <v>373</v>
      </c>
      <c r="I2754" s="132" t="s">
        <v>1100</v>
      </c>
      <c r="J2754" s="132" t="s">
        <v>2750</v>
      </c>
      <c r="K2754" s="132" t="s">
        <v>7051</v>
      </c>
      <c r="L2754" s="132" t="s">
        <v>2265</v>
      </c>
      <c r="M2754" s="132" t="s">
        <v>7071</v>
      </c>
      <c r="N2754" s="132" t="s">
        <v>1117</v>
      </c>
      <c r="O2754" s="132" t="s">
        <v>7072</v>
      </c>
      <c r="P2754" s="132" t="s">
        <v>7054</v>
      </c>
      <c r="Q2754" s="132" t="s">
        <v>1108</v>
      </c>
    </row>
    <row r="2755" spans="1:17" ht="15" customHeight="1" x14ac:dyDescent="0.2">
      <c r="A2755" t="s">
        <v>163</v>
      </c>
      <c r="B2755" s="141">
        <f t="shared" si="44"/>
        <v>6.57</v>
      </c>
      <c r="C2755" s="280">
        <v>45923</v>
      </c>
      <c r="D2755" s="279">
        <v>45925</v>
      </c>
      <c r="E2755" s="279">
        <v>45925</v>
      </c>
      <c r="F2755" s="132"/>
      <c r="G2755" s="132" t="s">
        <v>1108</v>
      </c>
      <c r="H2755" s="132" t="s">
        <v>373</v>
      </c>
      <c r="I2755" s="132" t="s">
        <v>1100</v>
      </c>
      <c r="J2755" s="132" t="s">
        <v>2750</v>
      </c>
      <c r="K2755" s="132" t="s">
        <v>7051</v>
      </c>
      <c r="L2755" s="132" t="s">
        <v>2265</v>
      </c>
      <c r="M2755" s="132" t="s">
        <v>7073</v>
      </c>
      <c r="N2755" s="132" t="s">
        <v>1117</v>
      </c>
      <c r="O2755" s="281" t="s">
        <v>7074</v>
      </c>
      <c r="P2755" s="132" t="s">
        <v>7054</v>
      </c>
      <c r="Q2755" s="132" t="s">
        <v>1108</v>
      </c>
    </row>
    <row r="2756" spans="1:17" x14ac:dyDescent="0.2">
      <c r="A2756" t="s">
        <v>163</v>
      </c>
      <c r="B2756" s="141">
        <f t="shared" si="44"/>
        <v>6.57</v>
      </c>
      <c r="C2756" s="280">
        <v>45923</v>
      </c>
      <c r="D2756" s="279">
        <v>45925</v>
      </c>
      <c r="E2756" s="279">
        <v>45925</v>
      </c>
      <c r="F2756" s="132"/>
      <c r="G2756" s="132" t="s">
        <v>1108</v>
      </c>
      <c r="H2756" s="132" t="s">
        <v>373</v>
      </c>
      <c r="I2756" s="132" t="s">
        <v>1100</v>
      </c>
      <c r="J2756" s="132" t="s">
        <v>2750</v>
      </c>
      <c r="K2756" s="132" t="s">
        <v>7051</v>
      </c>
      <c r="L2756" s="132" t="s">
        <v>2265</v>
      </c>
      <c r="M2756" s="132" t="s">
        <v>7075</v>
      </c>
      <c r="N2756" s="132" t="s">
        <v>1117</v>
      </c>
      <c r="O2756" s="281" t="s">
        <v>7076</v>
      </c>
      <c r="P2756" s="132" t="s">
        <v>7054</v>
      </c>
      <c r="Q2756" s="132" t="s">
        <v>1108</v>
      </c>
    </row>
    <row r="2757" spans="1:17" x14ac:dyDescent="0.2">
      <c r="A2757" t="s">
        <v>163</v>
      </c>
      <c r="B2757" s="141">
        <f t="shared" si="44"/>
        <v>6.57</v>
      </c>
      <c r="C2757" s="280">
        <v>45923</v>
      </c>
      <c r="D2757" s="279">
        <v>45925</v>
      </c>
      <c r="E2757" s="279">
        <v>45925</v>
      </c>
      <c r="F2757" s="132"/>
      <c r="G2757" s="132" t="s">
        <v>4667</v>
      </c>
      <c r="H2757" s="132" t="s">
        <v>373</v>
      </c>
      <c r="I2757" s="132" t="s">
        <v>1100</v>
      </c>
      <c r="J2757" s="132" t="s">
        <v>2750</v>
      </c>
      <c r="K2757" s="132" t="s">
        <v>7051</v>
      </c>
      <c r="L2757" s="132" t="s">
        <v>2265</v>
      </c>
      <c r="M2757" s="132" t="s">
        <v>7077</v>
      </c>
      <c r="N2757" s="132" t="s">
        <v>1105</v>
      </c>
      <c r="O2757" s="132" t="s">
        <v>7078</v>
      </c>
      <c r="P2757" s="132" t="s">
        <v>7054</v>
      </c>
      <c r="Q2757" s="132" t="s">
        <v>1108</v>
      </c>
    </row>
    <row r="2758" spans="1:17" x14ac:dyDescent="0.2">
      <c r="A2758" t="s">
        <v>163</v>
      </c>
      <c r="B2758" s="141">
        <f t="shared" si="44"/>
        <v>6.57</v>
      </c>
      <c r="C2758" s="280">
        <v>45923</v>
      </c>
      <c r="D2758" s="279">
        <v>45925</v>
      </c>
      <c r="E2758" s="279">
        <v>45925</v>
      </c>
      <c r="F2758" s="132"/>
      <c r="G2758" s="132" t="s">
        <v>1108</v>
      </c>
      <c r="H2758" s="132" t="s">
        <v>373</v>
      </c>
      <c r="I2758" s="132" t="s">
        <v>1100</v>
      </c>
      <c r="J2758" s="132" t="s">
        <v>2750</v>
      </c>
      <c r="K2758" s="132" t="s">
        <v>7051</v>
      </c>
      <c r="L2758" s="132" t="s">
        <v>2265</v>
      </c>
      <c r="M2758" s="132" t="s">
        <v>7079</v>
      </c>
      <c r="N2758" s="132" t="s">
        <v>1117</v>
      </c>
      <c r="O2758" s="132" t="s">
        <v>7080</v>
      </c>
      <c r="P2758" s="132" t="s">
        <v>7054</v>
      </c>
      <c r="Q2758" s="132" t="s">
        <v>1108</v>
      </c>
    </row>
    <row r="2759" spans="1:17" x14ac:dyDescent="0.2">
      <c r="A2759" t="s">
        <v>163</v>
      </c>
      <c r="B2759" s="141">
        <f t="shared" si="44"/>
        <v>6.57</v>
      </c>
      <c r="C2759" s="280">
        <v>45923</v>
      </c>
      <c r="D2759" s="279">
        <v>45925</v>
      </c>
      <c r="E2759" s="279">
        <v>45925</v>
      </c>
      <c r="F2759" s="132"/>
      <c r="G2759" s="132" t="s">
        <v>5239</v>
      </c>
      <c r="H2759" s="132" t="s">
        <v>373</v>
      </c>
      <c r="I2759" s="132" t="s">
        <v>1100</v>
      </c>
      <c r="J2759" s="132" t="s">
        <v>2750</v>
      </c>
      <c r="K2759" s="132" t="s">
        <v>7051</v>
      </c>
      <c r="L2759" s="132" t="s">
        <v>2265</v>
      </c>
      <c r="M2759" s="132" t="s">
        <v>7081</v>
      </c>
      <c r="N2759" s="132" t="s">
        <v>1105</v>
      </c>
      <c r="O2759" s="132" t="s">
        <v>7082</v>
      </c>
      <c r="P2759" s="132" t="s">
        <v>7054</v>
      </c>
      <c r="Q2759" s="132" t="s">
        <v>1108</v>
      </c>
    </row>
    <row r="2760" spans="1:17" x14ac:dyDescent="0.2">
      <c r="A2760" t="s">
        <v>163</v>
      </c>
      <c r="B2760" s="141">
        <f t="shared" si="44"/>
        <v>6.5200000000000005</v>
      </c>
      <c r="C2760" s="280">
        <v>45923</v>
      </c>
      <c r="D2760" s="279">
        <v>45925</v>
      </c>
      <c r="E2760" s="279">
        <v>45925</v>
      </c>
      <c r="F2760" s="132"/>
      <c r="G2760" s="132" t="s">
        <v>1108</v>
      </c>
      <c r="H2760" s="132" t="s">
        <v>373</v>
      </c>
      <c r="I2760" s="132" t="s">
        <v>1100</v>
      </c>
      <c r="J2760" s="132" t="s">
        <v>2750</v>
      </c>
      <c r="K2760" s="132" t="s">
        <v>2751</v>
      </c>
      <c r="L2760" s="132" t="s">
        <v>2067</v>
      </c>
      <c r="M2760" s="132" t="s">
        <v>7083</v>
      </c>
      <c r="N2760" s="132" t="s">
        <v>1112</v>
      </c>
      <c r="O2760" s="132" t="s">
        <v>7084</v>
      </c>
      <c r="P2760" s="132" t="s">
        <v>7054</v>
      </c>
      <c r="Q2760" s="132" t="s">
        <v>1108</v>
      </c>
    </row>
    <row r="2761" spans="1:17" x14ac:dyDescent="0.2">
      <c r="A2761" t="s">
        <v>163</v>
      </c>
      <c r="B2761" s="141">
        <f t="shared" si="44"/>
        <v>6.5200000000000005</v>
      </c>
      <c r="C2761" s="280">
        <v>45924</v>
      </c>
      <c r="D2761" s="279">
        <v>45925</v>
      </c>
      <c r="E2761" s="279">
        <v>45925</v>
      </c>
      <c r="F2761" s="132"/>
      <c r="G2761" s="132" t="s">
        <v>1108</v>
      </c>
      <c r="H2761" s="132" t="s">
        <v>373</v>
      </c>
      <c r="I2761" s="132" t="s">
        <v>1100</v>
      </c>
      <c r="J2761" s="132" t="s">
        <v>2750</v>
      </c>
      <c r="K2761" s="132" t="s">
        <v>2751</v>
      </c>
      <c r="L2761" s="132" t="s">
        <v>2067</v>
      </c>
      <c r="M2761" s="132" t="s">
        <v>7085</v>
      </c>
      <c r="N2761" s="132" t="s">
        <v>1112</v>
      </c>
      <c r="O2761" s="132" t="s">
        <v>7086</v>
      </c>
      <c r="P2761" s="132" t="s">
        <v>7054</v>
      </c>
      <c r="Q2761" s="132" t="s">
        <v>1108</v>
      </c>
    </row>
    <row r="2762" spans="1:17" x14ac:dyDescent="0.2">
      <c r="A2762" t="s">
        <v>163</v>
      </c>
      <c r="B2762" s="141">
        <f t="shared" si="44"/>
        <v>6.57</v>
      </c>
      <c r="C2762" s="280">
        <v>45924</v>
      </c>
      <c r="D2762" s="279">
        <v>45926</v>
      </c>
      <c r="E2762" s="279">
        <v>45926</v>
      </c>
      <c r="F2762" s="132"/>
      <c r="G2762" s="132" t="s">
        <v>1108</v>
      </c>
      <c r="H2762" s="132" t="s">
        <v>373</v>
      </c>
      <c r="I2762" s="132" t="s">
        <v>1100</v>
      </c>
      <c r="J2762" s="132" t="s">
        <v>2750</v>
      </c>
      <c r="K2762" s="132" t="s">
        <v>7051</v>
      </c>
      <c r="L2762" s="132" t="s">
        <v>2265</v>
      </c>
      <c r="M2762" s="132" t="s">
        <v>7087</v>
      </c>
      <c r="N2762" s="132" t="s">
        <v>1117</v>
      </c>
      <c r="O2762" s="132" t="s">
        <v>7088</v>
      </c>
      <c r="P2762" s="132" t="s">
        <v>7089</v>
      </c>
      <c r="Q2762" s="132" t="s">
        <v>1108</v>
      </c>
    </row>
    <row r="2763" spans="1:17" x14ac:dyDescent="0.2">
      <c r="A2763" t="s">
        <v>163</v>
      </c>
      <c r="B2763" s="141">
        <f t="shared" si="44"/>
        <v>6.57</v>
      </c>
      <c r="C2763" s="280">
        <v>45924</v>
      </c>
      <c r="D2763" s="279">
        <v>45926</v>
      </c>
      <c r="E2763" s="279">
        <v>45926</v>
      </c>
      <c r="F2763" s="132"/>
      <c r="G2763" s="132" t="s">
        <v>1108</v>
      </c>
      <c r="H2763" s="132" t="s">
        <v>373</v>
      </c>
      <c r="I2763" s="132" t="s">
        <v>1100</v>
      </c>
      <c r="J2763" s="132" t="s">
        <v>2750</v>
      </c>
      <c r="K2763" s="132" t="s">
        <v>7051</v>
      </c>
      <c r="L2763" s="132" t="s">
        <v>2265</v>
      </c>
      <c r="M2763" s="132" t="s">
        <v>7090</v>
      </c>
      <c r="N2763" s="132" t="s">
        <v>1117</v>
      </c>
      <c r="O2763" s="132" t="s">
        <v>7091</v>
      </c>
      <c r="P2763" s="132" t="s">
        <v>7089</v>
      </c>
      <c r="Q2763" s="132" t="s">
        <v>1108</v>
      </c>
    </row>
    <row r="2764" spans="1:17" x14ac:dyDescent="0.2">
      <c r="A2764" s="664" t="s">
        <v>164</v>
      </c>
      <c r="B2764" s="141">
        <f t="shared" si="44"/>
        <v>8.5299999999999994</v>
      </c>
      <c r="C2764" s="280">
        <v>45924</v>
      </c>
      <c r="D2764" s="279">
        <v>45926</v>
      </c>
      <c r="E2764" s="279">
        <v>45926</v>
      </c>
      <c r="F2764" s="132"/>
      <c r="G2764" s="132" t="s">
        <v>1108</v>
      </c>
      <c r="H2764" s="132" t="s">
        <v>373</v>
      </c>
      <c r="I2764" s="132" t="s">
        <v>1100</v>
      </c>
      <c r="J2764" s="132" t="s">
        <v>2052</v>
      </c>
      <c r="K2764" s="132" t="s">
        <v>2170</v>
      </c>
      <c r="L2764" s="132" t="s">
        <v>2171</v>
      </c>
      <c r="M2764" s="132" t="s">
        <v>7092</v>
      </c>
      <c r="N2764" s="132" t="s">
        <v>1117</v>
      </c>
      <c r="O2764" s="132" t="s">
        <v>7093</v>
      </c>
      <c r="P2764" s="132" t="s">
        <v>7089</v>
      </c>
      <c r="Q2764" s="132" t="s">
        <v>1108</v>
      </c>
    </row>
    <row r="2765" spans="1:17" x14ac:dyDescent="0.2">
      <c r="A2765" t="s">
        <v>163</v>
      </c>
      <c r="B2765" s="141">
        <f t="shared" si="44"/>
        <v>6.57</v>
      </c>
      <c r="C2765" s="280">
        <v>45924</v>
      </c>
      <c r="D2765" s="279">
        <v>45926</v>
      </c>
      <c r="E2765" s="279">
        <v>45926</v>
      </c>
      <c r="F2765" s="132"/>
      <c r="G2765" s="132" t="s">
        <v>7094</v>
      </c>
      <c r="H2765" s="132" t="s">
        <v>373</v>
      </c>
      <c r="I2765" s="132" t="s">
        <v>1100</v>
      </c>
      <c r="J2765" s="132" t="s">
        <v>2750</v>
      </c>
      <c r="K2765" s="132" t="s">
        <v>7051</v>
      </c>
      <c r="L2765" s="132" t="s">
        <v>2265</v>
      </c>
      <c r="M2765" s="132" t="s">
        <v>7095</v>
      </c>
      <c r="N2765" s="132" t="s">
        <v>1105</v>
      </c>
      <c r="O2765" s="132" t="s">
        <v>7096</v>
      </c>
      <c r="P2765" s="132" t="s">
        <v>7089</v>
      </c>
      <c r="Q2765" s="132" t="s">
        <v>1108</v>
      </c>
    </row>
    <row r="2766" spans="1:17" x14ac:dyDescent="0.2">
      <c r="A2766" t="s">
        <v>163</v>
      </c>
      <c r="B2766" s="141">
        <f t="shared" si="44"/>
        <v>6.57</v>
      </c>
      <c r="C2766" s="280">
        <v>45924</v>
      </c>
      <c r="D2766" s="279">
        <v>45926</v>
      </c>
      <c r="E2766" s="279">
        <v>45926</v>
      </c>
      <c r="F2766" s="132"/>
      <c r="G2766" s="132" t="s">
        <v>4945</v>
      </c>
      <c r="H2766" s="132" t="s">
        <v>373</v>
      </c>
      <c r="I2766" s="132" t="s">
        <v>1100</v>
      </c>
      <c r="J2766" s="132" t="s">
        <v>2750</v>
      </c>
      <c r="K2766" s="132" t="s">
        <v>7051</v>
      </c>
      <c r="L2766" s="132" t="s">
        <v>2265</v>
      </c>
      <c r="M2766" s="132" t="s">
        <v>7097</v>
      </c>
      <c r="N2766" s="132" t="s">
        <v>1105</v>
      </c>
      <c r="O2766" s="132" t="s">
        <v>7098</v>
      </c>
      <c r="P2766" s="132" t="s">
        <v>7089</v>
      </c>
      <c r="Q2766" s="132" t="s">
        <v>1108</v>
      </c>
    </row>
    <row r="2767" spans="1:17" x14ac:dyDescent="0.2">
      <c r="A2767" t="s">
        <v>163</v>
      </c>
      <c r="B2767" s="141">
        <f t="shared" si="44"/>
        <v>6.5200000000000005</v>
      </c>
      <c r="C2767" s="280">
        <v>45924</v>
      </c>
      <c r="D2767" s="279">
        <v>45926</v>
      </c>
      <c r="E2767" s="279">
        <v>45926</v>
      </c>
      <c r="F2767" s="132"/>
      <c r="G2767" s="132" t="s">
        <v>1108</v>
      </c>
      <c r="H2767" s="132" t="s">
        <v>373</v>
      </c>
      <c r="I2767" s="132" t="s">
        <v>1100</v>
      </c>
      <c r="J2767" s="132" t="s">
        <v>2750</v>
      </c>
      <c r="K2767" s="132" t="s">
        <v>2751</v>
      </c>
      <c r="L2767" s="132" t="s">
        <v>2067</v>
      </c>
      <c r="M2767" s="132" t="s">
        <v>7099</v>
      </c>
      <c r="N2767" s="132" t="s">
        <v>1112</v>
      </c>
      <c r="O2767" s="132" t="s">
        <v>7100</v>
      </c>
      <c r="P2767" s="132" t="s">
        <v>7089</v>
      </c>
      <c r="Q2767" s="132" t="s">
        <v>1108</v>
      </c>
    </row>
    <row r="2768" spans="1:17" x14ac:dyDescent="0.2">
      <c r="A2768" t="s">
        <v>163</v>
      </c>
      <c r="B2768" s="141">
        <f t="shared" si="44"/>
        <v>6.5200000000000005</v>
      </c>
      <c r="C2768" s="280">
        <v>45924</v>
      </c>
      <c r="D2768" s="279">
        <v>45926</v>
      </c>
      <c r="E2768" s="279">
        <v>45926</v>
      </c>
      <c r="F2768" s="132"/>
      <c r="G2768" s="132" t="s">
        <v>1108</v>
      </c>
      <c r="H2768" s="132" t="s">
        <v>373</v>
      </c>
      <c r="I2768" s="132" t="s">
        <v>1100</v>
      </c>
      <c r="J2768" s="132" t="s">
        <v>2750</v>
      </c>
      <c r="K2768" s="132" t="s">
        <v>2751</v>
      </c>
      <c r="L2768" s="132" t="s">
        <v>2067</v>
      </c>
      <c r="M2768" s="132" t="s">
        <v>7101</v>
      </c>
      <c r="N2768" s="132" t="s">
        <v>1112</v>
      </c>
      <c r="O2768" s="132" t="s">
        <v>7102</v>
      </c>
      <c r="P2768" s="132" t="s">
        <v>7089</v>
      </c>
      <c r="Q2768" s="132" t="s">
        <v>1108</v>
      </c>
    </row>
    <row r="2769" spans="1:17" x14ac:dyDescent="0.2">
      <c r="A2769" t="s">
        <v>163</v>
      </c>
      <c r="B2769" s="141">
        <f t="shared" si="44"/>
        <v>6.5200000000000005</v>
      </c>
      <c r="C2769" s="280">
        <v>45924</v>
      </c>
      <c r="D2769" s="279">
        <v>45926</v>
      </c>
      <c r="E2769" s="279">
        <v>45926</v>
      </c>
      <c r="F2769" s="132"/>
      <c r="G2769" s="132" t="s">
        <v>1108</v>
      </c>
      <c r="H2769" s="132" t="s">
        <v>373</v>
      </c>
      <c r="I2769" s="132" t="s">
        <v>1100</v>
      </c>
      <c r="J2769" s="132" t="s">
        <v>2750</v>
      </c>
      <c r="K2769" s="132" t="s">
        <v>2751</v>
      </c>
      <c r="L2769" s="132" t="s">
        <v>2067</v>
      </c>
      <c r="M2769" s="132" t="s">
        <v>7103</v>
      </c>
      <c r="N2769" s="132" t="s">
        <v>1112</v>
      </c>
      <c r="O2769" s="132" t="s">
        <v>7104</v>
      </c>
      <c r="P2769" s="132" t="s">
        <v>7089</v>
      </c>
      <c r="Q2769" s="132" t="s">
        <v>1108</v>
      </c>
    </row>
    <row r="2770" spans="1:17" x14ac:dyDescent="0.2">
      <c r="A2770" t="s">
        <v>163</v>
      </c>
      <c r="B2770" s="141">
        <f t="shared" si="44"/>
        <v>6.5200000000000005</v>
      </c>
      <c r="C2770" s="280">
        <v>45924</v>
      </c>
      <c r="D2770" s="279">
        <v>45926</v>
      </c>
      <c r="E2770" s="279">
        <v>45926</v>
      </c>
      <c r="F2770" s="132"/>
      <c r="G2770" s="132" t="s">
        <v>1108</v>
      </c>
      <c r="H2770" s="132" t="s">
        <v>373</v>
      </c>
      <c r="I2770" s="132" t="s">
        <v>1100</v>
      </c>
      <c r="J2770" s="132" t="s">
        <v>2750</v>
      </c>
      <c r="K2770" s="132" t="s">
        <v>2751</v>
      </c>
      <c r="L2770" s="132" t="s">
        <v>2067</v>
      </c>
      <c r="M2770" s="132" t="s">
        <v>7105</v>
      </c>
      <c r="N2770" s="132" t="s">
        <v>1112</v>
      </c>
      <c r="O2770" s="132" t="s">
        <v>7106</v>
      </c>
      <c r="P2770" s="132" t="s">
        <v>7089</v>
      </c>
      <c r="Q2770" s="132" t="s">
        <v>1108</v>
      </c>
    </row>
    <row r="2771" spans="1:17" x14ac:dyDescent="0.2">
      <c r="A2771" t="s">
        <v>163</v>
      </c>
      <c r="B2771" s="141">
        <f t="shared" si="44"/>
        <v>6.57</v>
      </c>
      <c r="C2771" s="280">
        <v>45924</v>
      </c>
      <c r="D2771" s="279">
        <v>45926</v>
      </c>
      <c r="E2771" s="279">
        <v>45926</v>
      </c>
      <c r="F2771" s="132"/>
      <c r="G2771" s="132" t="s">
        <v>7107</v>
      </c>
      <c r="H2771" s="132" t="s">
        <v>373</v>
      </c>
      <c r="I2771" s="132" t="s">
        <v>1100</v>
      </c>
      <c r="J2771" s="132" t="s">
        <v>2750</v>
      </c>
      <c r="K2771" s="132" t="s">
        <v>7051</v>
      </c>
      <c r="L2771" s="132" t="s">
        <v>2265</v>
      </c>
      <c r="M2771" s="132" t="s">
        <v>7108</v>
      </c>
      <c r="N2771" s="132" t="s">
        <v>1105</v>
      </c>
      <c r="O2771" s="132" t="s">
        <v>7109</v>
      </c>
      <c r="P2771" s="132" t="s">
        <v>7089</v>
      </c>
      <c r="Q2771" s="132" t="s">
        <v>1108</v>
      </c>
    </row>
    <row r="2772" spans="1:17" x14ac:dyDescent="0.2">
      <c r="A2772" t="s">
        <v>163</v>
      </c>
      <c r="B2772" s="141">
        <f t="shared" si="44"/>
        <v>6.5200000000000005</v>
      </c>
      <c r="C2772" s="280">
        <v>45924</v>
      </c>
      <c r="D2772" s="279">
        <v>45926</v>
      </c>
      <c r="E2772" s="279">
        <v>45926</v>
      </c>
      <c r="F2772" s="132"/>
      <c r="G2772" s="132" t="s">
        <v>1108</v>
      </c>
      <c r="H2772" s="132" t="s">
        <v>373</v>
      </c>
      <c r="I2772" s="132" t="s">
        <v>1100</v>
      </c>
      <c r="J2772" s="132" t="s">
        <v>2750</v>
      </c>
      <c r="K2772" s="132" t="s">
        <v>2751</v>
      </c>
      <c r="L2772" s="132" t="s">
        <v>2067</v>
      </c>
      <c r="M2772" s="132" t="s">
        <v>7110</v>
      </c>
      <c r="N2772" s="132" t="s">
        <v>1112</v>
      </c>
      <c r="O2772" s="132" t="s">
        <v>7111</v>
      </c>
      <c r="P2772" s="132" t="s">
        <v>7089</v>
      </c>
      <c r="Q2772" s="132" t="s">
        <v>1108</v>
      </c>
    </row>
    <row r="2773" spans="1:17" x14ac:dyDescent="0.2">
      <c r="A2773" t="s">
        <v>163</v>
      </c>
      <c r="B2773" s="141">
        <f t="shared" si="44"/>
        <v>6.57</v>
      </c>
      <c r="C2773" s="280">
        <v>45924</v>
      </c>
      <c r="D2773" s="279">
        <v>45926</v>
      </c>
      <c r="E2773" s="279">
        <v>45926</v>
      </c>
      <c r="F2773" s="132"/>
      <c r="G2773" s="132" t="s">
        <v>1108</v>
      </c>
      <c r="H2773" s="132" t="s">
        <v>373</v>
      </c>
      <c r="I2773" s="132" t="s">
        <v>1100</v>
      </c>
      <c r="J2773" s="132" t="s">
        <v>2750</v>
      </c>
      <c r="K2773" s="132" t="s">
        <v>7051</v>
      </c>
      <c r="L2773" s="132" t="s">
        <v>2265</v>
      </c>
      <c r="M2773" s="132" t="s">
        <v>7112</v>
      </c>
      <c r="N2773" s="132" t="s">
        <v>1117</v>
      </c>
      <c r="O2773" s="132" t="s">
        <v>7113</v>
      </c>
      <c r="P2773" s="132" t="s">
        <v>7089</v>
      </c>
      <c r="Q2773" s="132" t="s">
        <v>1108</v>
      </c>
    </row>
    <row r="2774" spans="1:17" x14ac:dyDescent="0.2">
      <c r="A2774" t="s">
        <v>81</v>
      </c>
      <c r="B2774" s="141">
        <f t="shared" si="44"/>
        <v>58.56</v>
      </c>
      <c r="C2774" s="280">
        <v>45924</v>
      </c>
      <c r="D2774" s="279">
        <v>45926</v>
      </c>
      <c r="E2774" s="279">
        <v>45926</v>
      </c>
      <c r="F2774" s="132"/>
      <c r="G2774" s="132" t="s">
        <v>4817</v>
      </c>
      <c r="H2774" s="132" t="s">
        <v>373</v>
      </c>
      <c r="I2774" s="132" t="s">
        <v>1100</v>
      </c>
      <c r="J2774" s="132" t="s">
        <v>4623</v>
      </c>
      <c r="K2774" s="132" t="s">
        <v>4672</v>
      </c>
      <c r="L2774" s="132" t="s">
        <v>4673</v>
      </c>
      <c r="M2774" s="132" t="s">
        <v>7114</v>
      </c>
      <c r="N2774" s="132" t="s">
        <v>1105</v>
      </c>
      <c r="O2774" s="132" t="s">
        <v>7115</v>
      </c>
      <c r="P2774" s="132" t="s">
        <v>7089</v>
      </c>
      <c r="Q2774" s="132" t="s">
        <v>1108</v>
      </c>
    </row>
    <row r="2775" spans="1:17" x14ac:dyDescent="0.2">
      <c r="A2775" t="s">
        <v>163</v>
      </c>
      <c r="B2775" s="141">
        <f t="shared" si="44"/>
        <v>6.57</v>
      </c>
      <c r="C2775" s="280">
        <v>45924</v>
      </c>
      <c r="D2775" s="279">
        <v>45926</v>
      </c>
      <c r="E2775" s="279">
        <v>45926</v>
      </c>
      <c r="F2775" s="132"/>
      <c r="G2775" s="132" t="s">
        <v>5189</v>
      </c>
      <c r="H2775" s="132" t="s">
        <v>373</v>
      </c>
      <c r="I2775" s="132" t="s">
        <v>1100</v>
      </c>
      <c r="J2775" s="132" t="s">
        <v>2750</v>
      </c>
      <c r="K2775" s="132" t="s">
        <v>7051</v>
      </c>
      <c r="L2775" s="132" t="s">
        <v>2265</v>
      </c>
      <c r="M2775" s="132" t="s">
        <v>7116</v>
      </c>
      <c r="N2775" s="132" t="s">
        <v>1105</v>
      </c>
      <c r="O2775" s="132" t="s">
        <v>7117</v>
      </c>
      <c r="P2775" s="132" t="s">
        <v>7089</v>
      </c>
      <c r="Q2775" s="132" t="s">
        <v>1108</v>
      </c>
    </row>
    <row r="2776" spans="1:17" x14ac:dyDescent="0.2">
      <c r="A2776" t="s">
        <v>163</v>
      </c>
      <c r="B2776" s="141">
        <f t="shared" si="44"/>
        <v>6.57</v>
      </c>
      <c r="C2776" s="280">
        <v>45925</v>
      </c>
      <c r="D2776" s="279">
        <v>45929</v>
      </c>
      <c r="E2776" s="279">
        <v>45929</v>
      </c>
      <c r="F2776" s="132"/>
      <c r="G2776" s="132" t="s">
        <v>5686</v>
      </c>
      <c r="H2776" s="132" t="s">
        <v>373</v>
      </c>
      <c r="I2776" s="132" t="s">
        <v>1100</v>
      </c>
      <c r="J2776" s="132" t="s">
        <v>2750</v>
      </c>
      <c r="K2776" s="132" t="s">
        <v>7051</v>
      </c>
      <c r="L2776" s="132" t="s">
        <v>2265</v>
      </c>
      <c r="M2776" s="132" t="s">
        <v>7118</v>
      </c>
      <c r="N2776" s="132" t="s">
        <v>1105</v>
      </c>
      <c r="O2776" s="132" t="s">
        <v>7119</v>
      </c>
      <c r="P2776" s="132" t="s">
        <v>7120</v>
      </c>
      <c r="Q2776" s="132" t="s">
        <v>1108</v>
      </c>
    </row>
    <row r="2777" spans="1:17" x14ac:dyDescent="0.2">
      <c r="A2777" t="s">
        <v>163</v>
      </c>
      <c r="B2777" s="141">
        <f t="shared" si="44"/>
        <v>6.5200000000000005</v>
      </c>
      <c r="C2777" s="280">
        <v>45925</v>
      </c>
      <c r="D2777" s="279">
        <v>45929</v>
      </c>
      <c r="E2777" s="279">
        <v>45929</v>
      </c>
      <c r="F2777" s="132"/>
      <c r="G2777" s="132" t="s">
        <v>1108</v>
      </c>
      <c r="H2777" s="132" t="s">
        <v>373</v>
      </c>
      <c r="I2777" s="132" t="s">
        <v>1100</v>
      </c>
      <c r="J2777" s="132" t="s">
        <v>2750</v>
      </c>
      <c r="K2777" s="132" t="s">
        <v>2751</v>
      </c>
      <c r="L2777" s="132" t="s">
        <v>2067</v>
      </c>
      <c r="M2777" s="132" t="s">
        <v>7121</v>
      </c>
      <c r="N2777" s="132" t="s">
        <v>1112</v>
      </c>
      <c r="O2777" s="132" t="s">
        <v>7122</v>
      </c>
      <c r="P2777" s="132" t="s">
        <v>7120</v>
      </c>
      <c r="Q2777" s="132" t="s">
        <v>1108</v>
      </c>
    </row>
    <row r="2778" spans="1:17" x14ac:dyDescent="0.2">
      <c r="A2778" t="s">
        <v>163</v>
      </c>
      <c r="B2778" s="141">
        <f t="shared" si="44"/>
        <v>6.5200000000000005</v>
      </c>
      <c r="C2778" s="280">
        <v>45925</v>
      </c>
      <c r="D2778" s="279">
        <v>45929</v>
      </c>
      <c r="E2778" s="279">
        <v>45929</v>
      </c>
      <c r="F2778" s="132"/>
      <c r="G2778" s="132" t="s">
        <v>1108</v>
      </c>
      <c r="H2778" s="132" t="s">
        <v>373</v>
      </c>
      <c r="I2778" s="132" t="s">
        <v>1100</v>
      </c>
      <c r="J2778" s="132" t="s">
        <v>2750</v>
      </c>
      <c r="K2778" s="132" t="s">
        <v>2751</v>
      </c>
      <c r="L2778" s="132" t="s">
        <v>2067</v>
      </c>
      <c r="M2778" s="132" t="s">
        <v>7123</v>
      </c>
      <c r="N2778" s="132" t="s">
        <v>1112</v>
      </c>
      <c r="O2778" s="132" t="s">
        <v>7124</v>
      </c>
      <c r="P2778" s="132" t="s">
        <v>7120</v>
      </c>
      <c r="Q2778" s="132" t="s">
        <v>1108</v>
      </c>
    </row>
    <row r="2779" spans="1:17" x14ac:dyDescent="0.2">
      <c r="A2779" t="s">
        <v>163</v>
      </c>
      <c r="B2779" s="141">
        <f t="shared" si="44"/>
        <v>6.57</v>
      </c>
      <c r="C2779" s="280">
        <v>45925</v>
      </c>
      <c r="D2779" s="279">
        <v>45929</v>
      </c>
      <c r="E2779" s="279">
        <v>45929</v>
      </c>
      <c r="F2779" s="132"/>
      <c r="G2779" s="132" t="s">
        <v>1108</v>
      </c>
      <c r="H2779" s="132" t="s">
        <v>373</v>
      </c>
      <c r="I2779" s="132" t="s">
        <v>1100</v>
      </c>
      <c r="J2779" s="132" t="s">
        <v>2750</v>
      </c>
      <c r="K2779" s="132" t="s">
        <v>7051</v>
      </c>
      <c r="L2779" s="132" t="s">
        <v>2265</v>
      </c>
      <c r="M2779" s="132" t="s">
        <v>7125</v>
      </c>
      <c r="N2779" s="132" t="s">
        <v>1117</v>
      </c>
      <c r="O2779" s="281" t="s">
        <v>7126</v>
      </c>
      <c r="P2779" s="132" t="s">
        <v>7120</v>
      </c>
      <c r="Q2779" s="132" t="s">
        <v>1108</v>
      </c>
    </row>
    <row r="2780" spans="1:17" x14ac:dyDescent="0.2">
      <c r="A2780" t="s">
        <v>163</v>
      </c>
      <c r="B2780" s="141">
        <f t="shared" si="44"/>
        <v>6.57</v>
      </c>
      <c r="C2780" s="280">
        <v>45925</v>
      </c>
      <c r="D2780" s="279">
        <v>45929</v>
      </c>
      <c r="E2780" s="279">
        <v>45929</v>
      </c>
      <c r="F2780" s="132"/>
      <c r="G2780" s="132" t="s">
        <v>1108</v>
      </c>
      <c r="H2780" s="132" t="s">
        <v>373</v>
      </c>
      <c r="I2780" s="132" t="s">
        <v>1100</v>
      </c>
      <c r="J2780" s="132" t="s">
        <v>2750</v>
      </c>
      <c r="K2780" s="132" t="s">
        <v>7051</v>
      </c>
      <c r="L2780" s="132" t="s">
        <v>2265</v>
      </c>
      <c r="M2780" s="132" t="s">
        <v>7127</v>
      </c>
      <c r="N2780" s="132" t="s">
        <v>1117</v>
      </c>
      <c r="O2780" s="132" t="s">
        <v>7128</v>
      </c>
      <c r="P2780" s="132" t="s">
        <v>7120</v>
      </c>
      <c r="Q2780" s="132" t="s">
        <v>1108</v>
      </c>
    </row>
    <row r="2781" spans="1:17" x14ac:dyDescent="0.2">
      <c r="A2781" t="s">
        <v>163</v>
      </c>
      <c r="B2781" s="141">
        <f t="shared" si="44"/>
        <v>6.57</v>
      </c>
      <c r="C2781" s="280">
        <v>45925</v>
      </c>
      <c r="D2781" s="279">
        <v>45929</v>
      </c>
      <c r="E2781" s="279">
        <v>45929</v>
      </c>
      <c r="F2781" s="132"/>
      <c r="G2781" s="132" t="s">
        <v>1108</v>
      </c>
      <c r="H2781" s="132" t="s">
        <v>373</v>
      </c>
      <c r="I2781" s="132" t="s">
        <v>1100</v>
      </c>
      <c r="J2781" s="132" t="s">
        <v>2750</v>
      </c>
      <c r="K2781" s="132" t="s">
        <v>7051</v>
      </c>
      <c r="L2781" s="132" t="s">
        <v>2265</v>
      </c>
      <c r="M2781" s="132" t="s">
        <v>7129</v>
      </c>
      <c r="N2781" s="132" t="s">
        <v>1117</v>
      </c>
      <c r="O2781" s="132" t="s">
        <v>7130</v>
      </c>
      <c r="P2781" s="132" t="s">
        <v>7120</v>
      </c>
      <c r="Q2781" s="132" t="s">
        <v>1108</v>
      </c>
    </row>
    <row r="2782" spans="1:17" x14ac:dyDescent="0.2">
      <c r="A2782" t="s">
        <v>163</v>
      </c>
      <c r="B2782" s="141">
        <f t="shared" si="44"/>
        <v>6.57</v>
      </c>
      <c r="C2782" s="280">
        <v>45925</v>
      </c>
      <c r="D2782" s="279">
        <v>45929</v>
      </c>
      <c r="E2782" s="279">
        <v>45929</v>
      </c>
      <c r="F2782" s="132"/>
      <c r="G2782" s="132" t="s">
        <v>5173</v>
      </c>
      <c r="H2782" s="132" t="s">
        <v>373</v>
      </c>
      <c r="I2782" s="132" t="s">
        <v>1100</v>
      </c>
      <c r="J2782" s="132" t="s">
        <v>2750</v>
      </c>
      <c r="K2782" s="132" t="s">
        <v>7051</v>
      </c>
      <c r="L2782" s="132" t="s">
        <v>2265</v>
      </c>
      <c r="M2782" s="132" t="s">
        <v>7131</v>
      </c>
      <c r="N2782" s="132" t="s">
        <v>1105</v>
      </c>
      <c r="O2782" s="132" t="s">
        <v>7132</v>
      </c>
      <c r="P2782" s="132" t="s">
        <v>7120</v>
      </c>
      <c r="Q2782" s="132" t="s">
        <v>1108</v>
      </c>
    </row>
    <row r="2783" spans="1:17" x14ac:dyDescent="0.2">
      <c r="A2783" s="664" t="s">
        <v>164</v>
      </c>
      <c r="B2783" s="141">
        <f t="shared" si="44"/>
        <v>8.4700000000000006</v>
      </c>
      <c r="C2783" s="280">
        <v>45926</v>
      </c>
      <c r="D2783" s="279">
        <v>45930</v>
      </c>
      <c r="E2783" s="279">
        <v>45930</v>
      </c>
      <c r="F2783" s="132"/>
      <c r="G2783" s="132" t="s">
        <v>1108</v>
      </c>
      <c r="H2783" s="132" t="s">
        <v>373</v>
      </c>
      <c r="I2783" s="132" t="s">
        <v>1100</v>
      </c>
      <c r="J2783" s="132" t="s">
        <v>2052</v>
      </c>
      <c r="K2783" s="132" t="s">
        <v>2053</v>
      </c>
      <c r="L2783" s="132" t="s">
        <v>2054</v>
      </c>
      <c r="M2783" s="132" t="s">
        <v>7133</v>
      </c>
      <c r="N2783" s="132" t="s">
        <v>1112</v>
      </c>
      <c r="O2783" s="132" t="s">
        <v>7134</v>
      </c>
      <c r="P2783" s="132" t="s">
        <v>7135</v>
      </c>
      <c r="Q2783" s="132" t="s">
        <v>1108</v>
      </c>
    </row>
    <row r="2784" spans="1:17" x14ac:dyDescent="0.2">
      <c r="A2784" t="s">
        <v>163</v>
      </c>
      <c r="B2784" s="141">
        <f t="shared" si="44"/>
        <v>6.5200000000000005</v>
      </c>
      <c r="C2784" s="280">
        <v>45926</v>
      </c>
      <c r="D2784" s="279">
        <v>45930</v>
      </c>
      <c r="E2784" s="279">
        <v>45930</v>
      </c>
      <c r="F2784" s="132"/>
      <c r="G2784" s="132" t="s">
        <v>1108</v>
      </c>
      <c r="H2784" s="132" t="s">
        <v>373</v>
      </c>
      <c r="I2784" s="132" t="s">
        <v>1100</v>
      </c>
      <c r="J2784" s="132" t="s">
        <v>2750</v>
      </c>
      <c r="K2784" s="132" t="s">
        <v>2751</v>
      </c>
      <c r="L2784" s="132" t="s">
        <v>2067</v>
      </c>
      <c r="M2784" s="132" t="s">
        <v>7136</v>
      </c>
      <c r="N2784" s="132" t="s">
        <v>1112</v>
      </c>
      <c r="O2784" s="132" t="s">
        <v>7137</v>
      </c>
      <c r="P2784" s="132" t="s">
        <v>7135</v>
      </c>
      <c r="Q2784" s="132" t="s">
        <v>1108</v>
      </c>
    </row>
    <row r="2785" spans="1:17" x14ac:dyDescent="0.2">
      <c r="A2785" t="s">
        <v>163</v>
      </c>
      <c r="B2785" s="141">
        <f t="shared" si="44"/>
        <v>6.48</v>
      </c>
      <c r="C2785" s="280">
        <v>45926</v>
      </c>
      <c r="D2785" s="279">
        <v>45930</v>
      </c>
      <c r="E2785" s="279">
        <v>45930</v>
      </c>
      <c r="F2785" s="132"/>
      <c r="G2785" s="132" t="s">
        <v>1108</v>
      </c>
      <c r="H2785" s="132" t="s">
        <v>373</v>
      </c>
      <c r="I2785" s="132" t="s">
        <v>1100</v>
      </c>
      <c r="J2785" s="132" t="s">
        <v>2750</v>
      </c>
      <c r="K2785" s="132" t="s">
        <v>2170</v>
      </c>
      <c r="L2785" s="132" t="s">
        <v>7138</v>
      </c>
      <c r="M2785" s="132" t="s">
        <v>7139</v>
      </c>
      <c r="N2785" s="132" t="s">
        <v>1117</v>
      </c>
      <c r="O2785" s="132" t="s">
        <v>7140</v>
      </c>
      <c r="P2785" s="132" t="s">
        <v>7135</v>
      </c>
      <c r="Q2785" s="132" t="s">
        <v>1108</v>
      </c>
    </row>
    <row r="2786" spans="1:17" x14ac:dyDescent="0.2">
      <c r="A2786" t="s">
        <v>163</v>
      </c>
      <c r="B2786" s="141">
        <f t="shared" si="44"/>
        <v>6.5200000000000005</v>
      </c>
      <c r="C2786" s="280">
        <v>45926</v>
      </c>
      <c r="D2786" s="279">
        <v>45930</v>
      </c>
      <c r="E2786" s="279">
        <v>45930</v>
      </c>
      <c r="F2786" s="132"/>
      <c r="G2786" s="132" t="s">
        <v>1108</v>
      </c>
      <c r="H2786" s="132" t="s">
        <v>373</v>
      </c>
      <c r="I2786" s="132" t="s">
        <v>1100</v>
      </c>
      <c r="J2786" s="132" t="s">
        <v>2750</v>
      </c>
      <c r="K2786" s="132" t="s">
        <v>2751</v>
      </c>
      <c r="L2786" s="132" t="s">
        <v>2067</v>
      </c>
      <c r="M2786" s="132" t="s">
        <v>7141</v>
      </c>
      <c r="N2786" s="132" t="s">
        <v>1112</v>
      </c>
      <c r="O2786" s="132" t="s">
        <v>7142</v>
      </c>
      <c r="P2786" s="132" t="s">
        <v>7135</v>
      </c>
      <c r="Q2786" s="132" t="s">
        <v>1108</v>
      </c>
    </row>
    <row r="2787" spans="1:17" x14ac:dyDescent="0.2">
      <c r="A2787" t="s">
        <v>163</v>
      </c>
      <c r="B2787" s="141">
        <f t="shared" si="44"/>
        <v>6.57</v>
      </c>
      <c r="C2787" s="280">
        <v>45926</v>
      </c>
      <c r="D2787" s="279">
        <v>45930</v>
      </c>
      <c r="E2787" s="279">
        <v>45930</v>
      </c>
      <c r="F2787" s="132"/>
      <c r="G2787" s="132" t="s">
        <v>1108</v>
      </c>
      <c r="H2787" s="132" t="s">
        <v>373</v>
      </c>
      <c r="I2787" s="132" t="s">
        <v>1100</v>
      </c>
      <c r="J2787" s="132" t="s">
        <v>2750</v>
      </c>
      <c r="K2787" s="132" t="s">
        <v>7051</v>
      </c>
      <c r="L2787" s="132" t="s">
        <v>2265</v>
      </c>
      <c r="M2787" s="132" t="s">
        <v>7143</v>
      </c>
      <c r="N2787" s="132" t="s">
        <v>4957</v>
      </c>
      <c r="O2787" s="132" t="s">
        <v>7144</v>
      </c>
      <c r="P2787" s="132" t="s">
        <v>7135</v>
      </c>
      <c r="Q2787" s="132" t="s">
        <v>1108</v>
      </c>
    </row>
    <row r="2788" spans="1:17" x14ac:dyDescent="0.2">
      <c r="A2788" t="s">
        <v>163</v>
      </c>
      <c r="B2788" s="141">
        <f t="shared" si="44"/>
        <v>6.57</v>
      </c>
      <c r="C2788" s="280">
        <v>45927</v>
      </c>
      <c r="D2788" s="279">
        <v>45930</v>
      </c>
      <c r="E2788" s="279">
        <v>45930</v>
      </c>
      <c r="F2788" s="132"/>
      <c r="G2788" s="132" t="s">
        <v>1108</v>
      </c>
      <c r="H2788" s="132" t="s">
        <v>373</v>
      </c>
      <c r="I2788" s="132" t="s">
        <v>1100</v>
      </c>
      <c r="J2788" s="132" t="s">
        <v>2750</v>
      </c>
      <c r="K2788" s="132" t="s">
        <v>7051</v>
      </c>
      <c r="L2788" s="132" t="s">
        <v>2265</v>
      </c>
      <c r="M2788" s="132" t="s">
        <v>7145</v>
      </c>
      <c r="N2788" s="132" t="s">
        <v>1117</v>
      </c>
      <c r="O2788" s="132" t="s">
        <v>7146</v>
      </c>
      <c r="P2788" s="132" t="s">
        <v>7135</v>
      </c>
      <c r="Q2788" s="132" t="s">
        <v>1108</v>
      </c>
    </row>
    <row r="2789" spans="1:17" x14ac:dyDescent="0.2">
      <c r="A2789" s="664" t="s">
        <v>164</v>
      </c>
      <c r="B2789" s="141">
        <f t="shared" si="44"/>
        <v>8.4700000000000006</v>
      </c>
      <c r="C2789" s="280">
        <v>45927</v>
      </c>
      <c r="D2789" s="279">
        <v>45930</v>
      </c>
      <c r="E2789" s="279">
        <v>45930</v>
      </c>
      <c r="F2789" s="132"/>
      <c r="G2789" s="132" t="s">
        <v>1108</v>
      </c>
      <c r="H2789" s="132" t="s">
        <v>373</v>
      </c>
      <c r="I2789" s="132" t="s">
        <v>1100</v>
      </c>
      <c r="J2789" s="132" t="s">
        <v>2052</v>
      </c>
      <c r="K2789" s="132" t="s">
        <v>2053</v>
      </c>
      <c r="L2789" s="132" t="s">
        <v>2054</v>
      </c>
      <c r="M2789" s="132" t="s">
        <v>7147</v>
      </c>
      <c r="N2789" s="132" t="s">
        <v>1112</v>
      </c>
      <c r="O2789" s="132" t="s">
        <v>7148</v>
      </c>
      <c r="P2789" s="132" t="s">
        <v>7135</v>
      </c>
      <c r="Q2789" s="132" t="s">
        <v>1108</v>
      </c>
    </row>
    <row r="2790" spans="1:17" x14ac:dyDescent="0.2">
      <c r="A2790" t="s">
        <v>163</v>
      </c>
      <c r="B2790" s="141">
        <f t="shared" si="44"/>
        <v>6.57</v>
      </c>
      <c r="C2790" s="280">
        <v>45928</v>
      </c>
      <c r="D2790" s="279">
        <v>45930</v>
      </c>
      <c r="E2790" s="279">
        <v>45930</v>
      </c>
      <c r="F2790" s="132"/>
      <c r="G2790" s="132" t="s">
        <v>1108</v>
      </c>
      <c r="H2790" s="132" t="s">
        <v>373</v>
      </c>
      <c r="I2790" s="132" t="s">
        <v>1100</v>
      </c>
      <c r="J2790" s="132" t="s">
        <v>2750</v>
      </c>
      <c r="K2790" s="132" t="s">
        <v>7051</v>
      </c>
      <c r="L2790" s="132" t="s">
        <v>2265</v>
      </c>
      <c r="M2790" s="132" t="s">
        <v>7149</v>
      </c>
      <c r="N2790" s="132" t="s">
        <v>1117</v>
      </c>
      <c r="O2790" s="132" t="s">
        <v>7150</v>
      </c>
      <c r="P2790" s="132" t="s">
        <v>7135</v>
      </c>
      <c r="Q2790" s="132" t="s">
        <v>1108</v>
      </c>
    </row>
    <row r="2791" spans="1:17" x14ac:dyDescent="0.2">
      <c r="A2791" s="664" t="s">
        <v>164</v>
      </c>
      <c r="B2791" s="141">
        <f t="shared" si="44"/>
        <v>8.5299999999999994</v>
      </c>
      <c r="C2791" s="280">
        <v>45929</v>
      </c>
      <c r="D2791" s="279">
        <v>45931</v>
      </c>
      <c r="E2791" s="279">
        <v>45931</v>
      </c>
      <c r="F2791" s="132"/>
      <c r="G2791" s="132" t="s">
        <v>1108</v>
      </c>
      <c r="H2791" s="132" t="s">
        <v>373</v>
      </c>
      <c r="I2791" s="132" t="s">
        <v>1100</v>
      </c>
      <c r="J2791" s="132" t="s">
        <v>2052</v>
      </c>
      <c r="K2791" s="132" t="s">
        <v>2170</v>
      </c>
      <c r="L2791" s="132" t="s">
        <v>2171</v>
      </c>
      <c r="M2791" s="132" t="s">
        <v>7151</v>
      </c>
      <c r="N2791" s="132" t="s">
        <v>1117</v>
      </c>
      <c r="O2791" s="281" t="s">
        <v>7152</v>
      </c>
      <c r="P2791" s="132" t="s">
        <v>7153</v>
      </c>
      <c r="Q2791" s="132" t="s">
        <v>1108</v>
      </c>
    </row>
    <row r="2792" spans="1:17" x14ac:dyDescent="0.2">
      <c r="A2792" t="s">
        <v>163</v>
      </c>
      <c r="B2792" s="141">
        <f t="shared" si="44"/>
        <v>6.5200000000000005</v>
      </c>
      <c r="C2792" s="280">
        <v>45929</v>
      </c>
      <c r="D2792" s="279">
        <v>45931</v>
      </c>
      <c r="E2792" s="279">
        <v>45931</v>
      </c>
      <c r="F2792" s="132"/>
      <c r="G2792" s="132" t="s">
        <v>1108</v>
      </c>
      <c r="H2792" s="132" t="s">
        <v>373</v>
      </c>
      <c r="I2792" s="132" t="s">
        <v>1100</v>
      </c>
      <c r="J2792" s="132" t="s">
        <v>2750</v>
      </c>
      <c r="K2792" s="132" t="s">
        <v>2751</v>
      </c>
      <c r="L2792" s="132" t="s">
        <v>2067</v>
      </c>
      <c r="M2792" s="132" t="s">
        <v>7154</v>
      </c>
      <c r="N2792" s="132" t="s">
        <v>1112</v>
      </c>
      <c r="O2792" s="132" t="s">
        <v>7155</v>
      </c>
      <c r="P2792" s="132" t="s">
        <v>7153</v>
      </c>
      <c r="Q2792" s="132" t="s">
        <v>1108</v>
      </c>
    </row>
    <row r="2793" spans="1:17" x14ac:dyDescent="0.2">
      <c r="A2793" s="664" t="s">
        <v>164</v>
      </c>
      <c r="B2793" s="141">
        <f t="shared" si="44"/>
        <v>8.5299999999999994</v>
      </c>
      <c r="C2793" s="280">
        <v>45929</v>
      </c>
      <c r="D2793" s="279">
        <v>45931</v>
      </c>
      <c r="E2793" s="279">
        <v>45931</v>
      </c>
      <c r="F2793" s="132"/>
      <c r="G2793" s="132" t="s">
        <v>1108</v>
      </c>
      <c r="H2793" s="132" t="s">
        <v>373</v>
      </c>
      <c r="I2793" s="132" t="s">
        <v>1100</v>
      </c>
      <c r="J2793" s="132" t="s">
        <v>2052</v>
      </c>
      <c r="K2793" s="132" t="s">
        <v>2170</v>
      </c>
      <c r="L2793" s="132" t="s">
        <v>2171</v>
      </c>
      <c r="M2793" s="132" t="s">
        <v>7156</v>
      </c>
      <c r="N2793" s="132" t="s">
        <v>1117</v>
      </c>
      <c r="O2793" s="132" t="s">
        <v>7157</v>
      </c>
      <c r="P2793" s="132" t="s">
        <v>7153</v>
      </c>
      <c r="Q2793" s="132" t="s">
        <v>1108</v>
      </c>
    </row>
    <row r="2794" spans="1:17" x14ac:dyDescent="0.2">
      <c r="A2794" t="s">
        <v>163</v>
      </c>
      <c r="B2794" s="141">
        <f t="shared" si="44"/>
        <v>6.57</v>
      </c>
      <c r="C2794" s="280">
        <v>45929</v>
      </c>
      <c r="D2794" s="279">
        <v>45931</v>
      </c>
      <c r="E2794" s="279">
        <v>45931</v>
      </c>
      <c r="F2794" s="132"/>
      <c r="G2794" s="132" t="s">
        <v>1108</v>
      </c>
      <c r="H2794" s="132" t="s">
        <v>373</v>
      </c>
      <c r="I2794" s="132" t="s">
        <v>1100</v>
      </c>
      <c r="J2794" s="132" t="s">
        <v>2750</v>
      </c>
      <c r="K2794" s="132" t="s">
        <v>7051</v>
      </c>
      <c r="L2794" s="132" t="s">
        <v>2265</v>
      </c>
      <c r="M2794" s="132" t="s">
        <v>7158</v>
      </c>
      <c r="N2794" s="132" t="s">
        <v>1117</v>
      </c>
      <c r="O2794" s="132" t="s">
        <v>7159</v>
      </c>
      <c r="P2794" s="132" t="s">
        <v>7153</v>
      </c>
      <c r="Q2794" s="132" t="s">
        <v>1108</v>
      </c>
    </row>
    <row r="2795" spans="1:17" x14ac:dyDescent="0.2">
      <c r="A2795" t="s">
        <v>163</v>
      </c>
      <c r="B2795" s="141">
        <f t="shared" si="44"/>
        <v>6.57</v>
      </c>
      <c r="C2795" s="280">
        <v>45929</v>
      </c>
      <c r="D2795" s="279">
        <v>45931</v>
      </c>
      <c r="E2795" s="279">
        <v>45931</v>
      </c>
      <c r="F2795" s="132"/>
      <c r="G2795" s="132" t="s">
        <v>1108</v>
      </c>
      <c r="H2795" s="132" t="s">
        <v>373</v>
      </c>
      <c r="I2795" s="132" t="s">
        <v>1100</v>
      </c>
      <c r="J2795" s="132" t="s">
        <v>2750</v>
      </c>
      <c r="K2795" s="132" t="s">
        <v>7051</v>
      </c>
      <c r="L2795" s="132" t="s">
        <v>2265</v>
      </c>
      <c r="M2795" s="132" t="s">
        <v>7160</v>
      </c>
      <c r="N2795" s="132" t="s">
        <v>1117</v>
      </c>
      <c r="O2795" s="132" t="s">
        <v>7161</v>
      </c>
      <c r="P2795" s="132" t="s">
        <v>7153</v>
      </c>
      <c r="Q2795" s="132" t="s">
        <v>1108</v>
      </c>
    </row>
    <row r="2796" spans="1:17" x14ac:dyDescent="0.2">
      <c r="A2796" t="s">
        <v>163</v>
      </c>
      <c r="B2796" s="141">
        <f t="shared" si="44"/>
        <v>6.57</v>
      </c>
      <c r="C2796" s="280">
        <v>45929</v>
      </c>
      <c r="D2796" s="279">
        <v>45931</v>
      </c>
      <c r="E2796" s="279">
        <v>45931</v>
      </c>
      <c r="F2796" s="132"/>
      <c r="G2796" s="132" t="s">
        <v>5305</v>
      </c>
      <c r="H2796" s="132" t="s">
        <v>373</v>
      </c>
      <c r="I2796" s="132" t="s">
        <v>1100</v>
      </c>
      <c r="J2796" s="132" t="s">
        <v>2750</v>
      </c>
      <c r="K2796" s="132" t="s">
        <v>7051</v>
      </c>
      <c r="L2796" s="132" t="s">
        <v>2265</v>
      </c>
      <c r="M2796" s="132" t="s">
        <v>7162</v>
      </c>
      <c r="N2796" s="132" t="s">
        <v>1105</v>
      </c>
      <c r="O2796" s="132" t="s">
        <v>7163</v>
      </c>
      <c r="P2796" s="132" t="s">
        <v>7153</v>
      </c>
      <c r="Q2796" s="132" t="s">
        <v>1108</v>
      </c>
    </row>
    <row r="2797" spans="1:17" x14ac:dyDescent="0.2">
      <c r="A2797" t="s">
        <v>163</v>
      </c>
      <c r="B2797" s="141">
        <f t="shared" si="44"/>
        <v>6.57</v>
      </c>
      <c r="C2797" s="280">
        <v>45929</v>
      </c>
      <c r="D2797" s="279">
        <v>45931</v>
      </c>
      <c r="E2797" s="279">
        <v>45931</v>
      </c>
      <c r="F2797" s="132"/>
      <c r="G2797" s="132" t="s">
        <v>1108</v>
      </c>
      <c r="H2797" s="132" t="s">
        <v>373</v>
      </c>
      <c r="I2797" s="132" t="s">
        <v>1100</v>
      </c>
      <c r="J2797" s="132" t="s">
        <v>2750</v>
      </c>
      <c r="K2797" s="132" t="s">
        <v>7051</v>
      </c>
      <c r="L2797" s="132" t="s">
        <v>2265</v>
      </c>
      <c r="M2797" s="132" t="s">
        <v>7164</v>
      </c>
      <c r="N2797" s="132" t="s">
        <v>1117</v>
      </c>
      <c r="O2797" s="132" t="s">
        <v>7165</v>
      </c>
      <c r="P2797" s="132" t="s">
        <v>7153</v>
      </c>
      <c r="Q2797" s="132" t="s">
        <v>1108</v>
      </c>
    </row>
    <row r="2798" spans="1:17" x14ac:dyDescent="0.2">
      <c r="A2798" s="664" t="s">
        <v>164</v>
      </c>
      <c r="B2798" s="141">
        <f t="shared" ref="B2798:B2861" si="45">_xlfn.NUMBERVALUE(L2798)*0.01</f>
        <v>8.5299999999999994</v>
      </c>
      <c r="C2798" s="280">
        <v>45929</v>
      </c>
      <c r="D2798" s="279">
        <v>45931</v>
      </c>
      <c r="E2798" s="279">
        <v>45931</v>
      </c>
      <c r="F2798" s="132"/>
      <c r="G2798" s="132" t="s">
        <v>1108</v>
      </c>
      <c r="H2798" s="132" t="s">
        <v>373</v>
      </c>
      <c r="I2798" s="132" t="s">
        <v>1100</v>
      </c>
      <c r="J2798" s="132" t="s">
        <v>2052</v>
      </c>
      <c r="K2798" s="132" t="s">
        <v>2170</v>
      </c>
      <c r="L2798" s="132" t="s">
        <v>2171</v>
      </c>
      <c r="M2798" s="132" t="s">
        <v>7166</v>
      </c>
      <c r="N2798" s="132" t="s">
        <v>1117</v>
      </c>
      <c r="O2798" s="132" t="s">
        <v>7167</v>
      </c>
      <c r="P2798" s="132" t="s">
        <v>7153</v>
      </c>
      <c r="Q2798" s="132" t="s">
        <v>1108</v>
      </c>
    </row>
    <row r="2799" spans="1:17" x14ac:dyDescent="0.2">
      <c r="A2799" t="s">
        <v>163</v>
      </c>
      <c r="B2799" s="141">
        <f t="shared" si="45"/>
        <v>6.57</v>
      </c>
      <c r="C2799" s="280">
        <v>45929</v>
      </c>
      <c r="D2799" s="279">
        <v>45931</v>
      </c>
      <c r="E2799" s="279">
        <v>45931</v>
      </c>
      <c r="F2799" s="132"/>
      <c r="G2799" s="132" t="s">
        <v>1108</v>
      </c>
      <c r="H2799" s="132" t="s">
        <v>373</v>
      </c>
      <c r="I2799" s="132" t="s">
        <v>1100</v>
      </c>
      <c r="J2799" s="132" t="s">
        <v>2750</v>
      </c>
      <c r="K2799" s="132" t="s">
        <v>7051</v>
      </c>
      <c r="L2799" s="132" t="s">
        <v>2265</v>
      </c>
      <c r="M2799" s="132" t="s">
        <v>7168</v>
      </c>
      <c r="N2799" s="132" t="s">
        <v>1117</v>
      </c>
      <c r="O2799" s="132" t="s">
        <v>7169</v>
      </c>
      <c r="P2799" s="132" t="s">
        <v>7153</v>
      </c>
      <c r="Q2799" s="132" t="s">
        <v>1108</v>
      </c>
    </row>
    <row r="2800" spans="1:17" x14ac:dyDescent="0.2">
      <c r="A2800" s="664" t="s">
        <v>164</v>
      </c>
      <c r="B2800" s="141">
        <f t="shared" si="45"/>
        <v>8.5299999999999994</v>
      </c>
      <c r="C2800" s="280">
        <v>45929</v>
      </c>
      <c r="D2800" s="279">
        <v>45931</v>
      </c>
      <c r="E2800" s="279">
        <v>45931</v>
      </c>
      <c r="F2800" s="132"/>
      <c r="G2800" s="132" t="s">
        <v>4753</v>
      </c>
      <c r="H2800" s="132" t="s">
        <v>373</v>
      </c>
      <c r="I2800" s="132" t="s">
        <v>1100</v>
      </c>
      <c r="J2800" s="132" t="s">
        <v>2052</v>
      </c>
      <c r="K2800" s="132" t="s">
        <v>2170</v>
      </c>
      <c r="L2800" s="132" t="s">
        <v>2171</v>
      </c>
      <c r="M2800" s="132" t="s">
        <v>7170</v>
      </c>
      <c r="N2800" s="132" t="s">
        <v>1105</v>
      </c>
      <c r="O2800" s="132" t="s">
        <v>7171</v>
      </c>
      <c r="P2800" s="132" t="s">
        <v>7153</v>
      </c>
      <c r="Q2800" s="132" t="s">
        <v>1108</v>
      </c>
    </row>
    <row r="2801" spans="1:17" x14ac:dyDescent="0.2">
      <c r="A2801" s="664" t="s">
        <v>164</v>
      </c>
      <c r="B2801" s="141">
        <f t="shared" si="45"/>
        <v>8.5299999999999994</v>
      </c>
      <c r="C2801" s="280">
        <v>45929</v>
      </c>
      <c r="D2801" s="279">
        <v>45931</v>
      </c>
      <c r="E2801" s="279">
        <v>45931</v>
      </c>
      <c r="F2801" s="132"/>
      <c r="G2801" s="132" t="s">
        <v>1108</v>
      </c>
      <c r="H2801" s="132" t="s">
        <v>373</v>
      </c>
      <c r="I2801" s="132" t="s">
        <v>1100</v>
      </c>
      <c r="J2801" s="132" t="s">
        <v>2052</v>
      </c>
      <c r="K2801" s="132" t="s">
        <v>2170</v>
      </c>
      <c r="L2801" s="132" t="s">
        <v>2171</v>
      </c>
      <c r="M2801" s="132" t="s">
        <v>7172</v>
      </c>
      <c r="N2801" s="132" t="s">
        <v>1117</v>
      </c>
      <c r="O2801" s="132" t="s">
        <v>7173</v>
      </c>
      <c r="P2801" s="132" t="s">
        <v>7153</v>
      </c>
      <c r="Q2801" s="132" t="s">
        <v>1108</v>
      </c>
    </row>
    <row r="2802" spans="1:17" x14ac:dyDescent="0.2">
      <c r="A2802" t="s">
        <v>163</v>
      </c>
      <c r="B2802" s="141">
        <f t="shared" si="45"/>
        <v>6.57</v>
      </c>
      <c r="C2802" s="280">
        <v>45929</v>
      </c>
      <c r="D2802" s="279">
        <v>45931</v>
      </c>
      <c r="E2802" s="279">
        <v>45931</v>
      </c>
      <c r="F2802" s="132"/>
      <c r="G2802" s="132" t="s">
        <v>1108</v>
      </c>
      <c r="H2802" s="132" t="s">
        <v>373</v>
      </c>
      <c r="I2802" s="132" t="s">
        <v>1100</v>
      </c>
      <c r="J2802" s="132" t="s">
        <v>2750</v>
      </c>
      <c r="K2802" s="132" t="s">
        <v>7051</v>
      </c>
      <c r="L2802" s="132" t="s">
        <v>2265</v>
      </c>
      <c r="M2802" s="132" t="s">
        <v>7174</v>
      </c>
      <c r="N2802" s="132" t="s">
        <v>1117</v>
      </c>
      <c r="O2802" s="132" t="s">
        <v>7175</v>
      </c>
      <c r="P2802" s="132" t="s">
        <v>7153</v>
      </c>
      <c r="Q2802" s="132" t="s">
        <v>1108</v>
      </c>
    </row>
    <row r="2803" spans="1:17" x14ac:dyDescent="0.2">
      <c r="A2803" t="s">
        <v>163</v>
      </c>
      <c r="B2803" s="141">
        <f t="shared" si="45"/>
        <v>6.57</v>
      </c>
      <c r="C2803" s="280">
        <v>45929</v>
      </c>
      <c r="D2803" s="279">
        <v>45931</v>
      </c>
      <c r="E2803" s="279">
        <v>45931</v>
      </c>
      <c r="F2803" s="132"/>
      <c r="G2803" s="132" t="s">
        <v>1108</v>
      </c>
      <c r="H2803" s="132" t="s">
        <v>373</v>
      </c>
      <c r="I2803" s="132" t="s">
        <v>1100</v>
      </c>
      <c r="J2803" s="132" t="s">
        <v>2750</v>
      </c>
      <c r="K2803" s="132" t="s">
        <v>7051</v>
      </c>
      <c r="L2803" s="132" t="s">
        <v>2265</v>
      </c>
      <c r="M2803" s="132" t="s">
        <v>7176</v>
      </c>
      <c r="N2803" s="132" t="s">
        <v>1117</v>
      </c>
      <c r="O2803" s="132" t="s">
        <v>7177</v>
      </c>
      <c r="P2803" s="132" t="s">
        <v>7153</v>
      </c>
      <c r="Q2803" s="132" t="s">
        <v>1108</v>
      </c>
    </row>
    <row r="2804" spans="1:17" x14ac:dyDescent="0.2">
      <c r="A2804" t="s">
        <v>163</v>
      </c>
      <c r="B2804" s="141">
        <f t="shared" si="45"/>
        <v>6.57</v>
      </c>
      <c r="C2804" s="280">
        <v>45929</v>
      </c>
      <c r="D2804" s="279">
        <v>45931</v>
      </c>
      <c r="E2804" s="279">
        <v>45931</v>
      </c>
      <c r="F2804" s="132"/>
      <c r="G2804" s="132" t="s">
        <v>1108</v>
      </c>
      <c r="H2804" s="132" t="s">
        <v>373</v>
      </c>
      <c r="I2804" s="132" t="s">
        <v>1100</v>
      </c>
      <c r="J2804" s="132" t="s">
        <v>2750</v>
      </c>
      <c r="K2804" s="132" t="s">
        <v>7051</v>
      </c>
      <c r="L2804" s="132" t="s">
        <v>2265</v>
      </c>
      <c r="M2804" s="132" t="s">
        <v>7178</v>
      </c>
      <c r="N2804" s="132" t="s">
        <v>1117</v>
      </c>
      <c r="O2804" s="132" t="s">
        <v>7179</v>
      </c>
      <c r="P2804" s="132" t="s">
        <v>7153</v>
      </c>
      <c r="Q2804" s="132" t="s">
        <v>1108</v>
      </c>
    </row>
    <row r="2805" spans="1:17" x14ac:dyDescent="0.2">
      <c r="A2805" t="s">
        <v>163</v>
      </c>
      <c r="B2805" s="141">
        <f t="shared" si="45"/>
        <v>6.57</v>
      </c>
      <c r="C2805" s="280">
        <v>45929</v>
      </c>
      <c r="D2805" s="279">
        <v>45931</v>
      </c>
      <c r="E2805" s="279">
        <v>45931</v>
      </c>
      <c r="F2805" s="132"/>
      <c r="G2805" s="132" t="s">
        <v>1108</v>
      </c>
      <c r="H2805" s="132" t="s">
        <v>373</v>
      </c>
      <c r="I2805" s="132" t="s">
        <v>1100</v>
      </c>
      <c r="J2805" s="132" t="s">
        <v>2750</v>
      </c>
      <c r="K2805" s="132" t="s">
        <v>7051</v>
      </c>
      <c r="L2805" s="132" t="s">
        <v>2265</v>
      </c>
      <c r="M2805" s="132" t="s">
        <v>7180</v>
      </c>
      <c r="N2805" s="132" t="s">
        <v>1117</v>
      </c>
      <c r="O2805" s="132" t="s">
        <v>7181</v>
      </c>
      <c r="P2805" s="132" t="s">
        <v>7153</v>
      </c>
      <c r="Q2805" s="132" t="s">
        <v>1108</v>
      </c>
    </row>
    <row r="2806" spans="1:17" x14ac:dyDescent="0.2">
      <c r="A2806" t="s">
        <v>163</v>
      </c>
      <c r="B2806" s="141">
        <f t="shared" si="45"/>
        <v>6.57</v>
      </c>
      <c r="C2806" s="280">
        <v>45929</v>
      </c>
      <c r="D2806" s="279">
        <v>45931</v>
      </c>
      <c r="E2806" s="279">
        <v>45931</v>
      </c>
      <c r="F2806" s="132"/>
      <c r="G2806" s="132" t="s">
        <v>5295</v>
      </c>
      <c r="H2806" s="132" t="s">
        <v>373</v>
      </c>
      <c r="I2806" s="132" t="s">
        <v>1100</v>
      </c>
      <c r="J2806" s="132" t="s">
        <v>2750</v>
      </c>
      <c r="K2806" s="132" t="s">
        <v>7051</v>
      </c>
      <c r="L2806" s="132" t="s">
        <v>2265</v>
      </c>
      <c r="M2806" s="132" t="s">
        <v>7182</v>
      </c>
      <c r="N2806" s="132" t="s">
        <v>1105</v>
      </c>
      <c r="O2806" s="132" t="s">
        <v>7183</v>
      </c>
      <c r="P2806" s="132" t="s">
        <v>7153</v>
      </c>
      <c r="Q2806" s="132" t="s">
        <v>1108</v>
      </c>
    </row>
    <row r="2807" spans="1:17" x14ac:dyDescent="0.2">
      <c r="A2807" s="664" t="s">
        <v>164</v>
      </c>
      <c r="B2807" s="141">
        <f t="shared" si="45"/>
        <v>8.5299999999999994</v>
      </c>
      <c r="C2807" s="280">
        <v>45929</v>
      </c>
      <c r="D2807" s="279">
        <v>45931</v>
      </c>
      <c r="E2807" s="279">
        <v>45931</v>
      </c>
      <c r="F2807" s="132"/>
      <c r="G2807" s="132" t="s">
        <v>1108</v>
      </c>
      <c r="H2807" s="132" t="s">
        <v>373</v>
      </c>
      <c r="I2807" s="132" t="s">
        <v>1100</v>
      </c>
      <c r="J2807" s="132" t="s">
        <v>2052</v>
      </c>
      <c r="K2807" s="132" t="s">
        <v>2170</v>
      </c>
      <c r="L2807" s="132" t="s">
        <v>2171</v>
      </c>
      <c r="M2807" s="132" t="s">
        <v>7184</v>
      </c>
      <c r="N2807" s="132" t="s">
        <v>1117</v>
      </c>
      <c r="O2807" s="132" t="s">
        <v>7185</v>
      </c>
      <c r="P2807" s="132" t="s">
        <v>7153</v>
      </c>
      <c r="Q2807" s="132" t="s">
        <v>1108</v>
      </c>
    </row>
    <row r="2808" spans="1:17" x14ac:dyDescent="0.2">
      <c r="A2808" t="s">
        <v>163</v>
      </c>
      <c r="B2808" s="141">
        <f t="shared" si="45"/>
        <v>6.5200000000000005</v>
      </c>
      <c r="C2808" s="280">
        <v>45929</v>
      </c>
      <c r="D2808" s="279">
        <v>45931</v>
      </c>
      <c r="E2808" s="279">
        <v>45931</v>
      </c>
      <c r="F2808" s="132"/>
      <c r="G2808" s="132" t="s">
        <v>1108</v>
      </c>
      <c r="H2808" s="132" t="s">
        <v>373</v>
      </c>
      <c r="I2808" s="132" t="s">
        <v>1100</v>
      </c>
      <c r="J2808" s="132" t="s">
        <v>2750</v>
      </c>
      <c r="K2808" s="132" t="s">
        <v>2751</v>
      </c>
      <c r="L2808" s="132" t="s">
        <v>2067</v>
      </c>
      <c r="M2808" s="132" t="s">
        <v>7186</v>
      </c>
      <c r="N2808" s="132" t="s">
        <v>1112</v>
      </c>
      <c r="O2808" s="132" t="s">
        <v>7187</v>
      </c>
      <c r="P2808" s="132" t="s">
        <v>7153</v>
      </c>
      <c r="Q2808" s="132" t="s">
        <v>1108</v>
      </c>
    </row>
    <row r="2809" spans="1:17" x14ac:dyDescent="0.2">
      <c r="A2809" t="s">
        <v>163</v>
      </c>
      <c r="B2809" s="141">
        <f t="shared" si="45"/>
        <v>6.5200000000000005</v>
      </c>
      <c r="C2809" s="280">
        <v>45929</v>
      </c>
      <c r="D2809" s="279">
        <v>45931</v>
      </c>
      <c r="E2809" s="279">
        <v>45931</v>
      </c>
      <c r="F2809" s="132"/>
      <c r="G2809" s="132" t="s">
        <v>1108</v>
      </c>
      <c r="H2809" s="132" t="s">
        <v>373</v>
      </c>
      <c r="I2809" s="132" t="s">
        <v>1100</v>
      </c>
      <c r="J2809" s="132" t="s">
        <v>2750</v>
      </c>
      <c r="K2809" s="132" t="s">
        <v>2751</v>
      </c>
      <c r="L2809" s="132" t="s">
        <v>2067</v>
      </c>
      <c r="M2809" s="132" t="s">
        <v>7188</v>
      </c>
      <c r="N2809" s="132" t="s">
        <v>1112</v>
      </c>
      <c r="O2809" s="132" t="s">
        <v>7189</v>
      </c>
      <c r="P2809" s="132" t="s">
        <v>7153</v>
      </c>
      <c r="Q2809" s="132" t="s">
        <v>1108</v>
      </c>
    </row>
    <row r="2810" spans="1:17" x14ac:dyDescent="0.2">
      <c r="A2810" t="s">
        <v>163</v>
      </c>
      <c r="B2810" s="141">
        <f t="shared" si="45"/>
        <v>6.5200000000000005</v>
      </c>
      <c r="C2810" s="280">
        <v>45929</v>
      </c>
      <c r="D2810" s="279">
        <v>45931</v>
      </c>
      <c r="E2810" s="279">
        <v>45931</v>
      </c>
      <c r="F2810" s="132"/>
      <c r="G2810" s="132" t="s">
        <v>1108</v>
      </c>
      <c r="H2810" s="132" t="s">
        <v>373</v>
      </c>
      <c r="I2810" s="132" t="s">
        <v>1100</v>
      </c>
      <c r="J2810" s="132" t="s">
        <v>2750</v>
      </c>
      <c r="K2810" s="132" t="s">
        <v>2751</v>
      </c>
      <c r="L2810" s="132" t="s">
        <v>2067</v>
      </c>
      <c r="M2810" s="132" t="s">
        <v>7190</v>
      </c>
      <c r="N2810" s="132" t="s">
        <v>1112</v>
      </c>
      <c r="O2810" s="132" t="s">
        <v>7191</v>
      </c>
      <c r="P2810" s="132" t="s">
        <v>7153</v>
      </c>
      <c r="Q2810" s="132" t="s">
        <v>1108</v>
      </c>
    </row>
    <row r="2811" spans="1:17" x14ac:dyDescent="0.2">
      <c r="A2811" s="664" t="s">
        <v>164</v>
      </c>
      <c r="B2811" s="141">
        <f t="shared" si="45"/>
        <v>8.4700000000000006</v>
      </c>
      <c r="C2811" s="280">
        <v>45930</v>
      </c>
      <c r="D2811" s="279">
        <v>45932</v>
      </c>
      <c r="E2811" s="279">
        <v>45932</v>
      </c>
      <c r="F2811" s="132"/>
      <c r="G2811" s="132" t="s">
        <v>1108</v>
      </c>
      <c r="H2811" s="132" t="s">
        <v>373</v>
      </c>
      <c r="I2811" s="132" t="s">
        <v>1100</v>
      </c>
      <c r="J2811" s="132" t="s">
        <v>2052</v>
      </c>
      <c r="K2811" s="132" t="s">
        <v>2053</v>
      </c>
      <c r="L2811" s="132" t="s">
        <v>2054</v>
      </c>
      <c r="M2811" s="132" t="s">
        <v>7192</v>
      </c>
      <c r="N2811" s="132" t="s">
        <v>1112</v>
      </c>
      <c r="O2811" s="132" t="s">
        <v>7193</v>
      </c>
      <c r="P2811" s="132" t="s">
        <v>7194</v>
      </c>
      <c r="Q2811" s="132" t="s">
        <v>1108</v>
      </c>
    </row>
    <row r="2812" spans="1:17" x14ac:dyDescent="0.2">
      <c r="A2812" t="s">
        <v>163</v>
      </c>
      <c r="B2812" s="141">
        <f t="shared" si="45"/>
        <v>6.57</v>
      </c>
      <c r="C2812" s="280">
        <v>45930</v>
      </c>
      <c r="D2812" s="279">
        <v>45932</v>
      </c>
      <c r="E2812" s="279">
        <v>45932</v>
      </c>
      <c r="F2812" s="132"/>
      <c r="G2812" s="132" t="s">
        <v>1108</v>
      </c>
      <c r="H2812" s="132" t="s">
        <v>373</v>
      </c>
      <c r="I2812" s="132" t="s">
        <v>1100</v>
      </c>
      <c r="J2812" s="132" t="s">
        <v>2750</v>
      </c>
      <c r="K2812" s="132" t="s">
        <v>7051</v>
      </c>
      <c r="L2812" s="132" t="s">
        <v>2265</v>
      </c>
      <c r="M2812" s="132" t="s">
        <v>7195</v>
      </c>
      <c r="N2812" s="132" t="s">
        <v>1117</v>
      </c>
      <c r="O2812" s="132" t="s">
        <v>7196</v>
      </c>
      <c r="P2812" s="132" t="s">
        <v>7194</v>
      </c>
      <c r="Q2812" s="132" t="s">
        <v>1108</v>
      </c>
    </row>
    <row r="2813" spans="1:17" x14ac:dyDescent="0.2">
      <c r="A2813" s="664" t="s">
        <v>164</v>
      </c>
      <c r="B2813" s="141">
        <f t="shared" si="45"/>
        <v>8.4700000000000006</v>
      </c>
      <c r="C2813" s="280">
        <v>45930</v>
      </c>
      <c r="D2813" s="279">
        <v>45932</v>
      </c>
      <c r="E2813" s="279">
        <v>45932</v>
      </c>
      <c r="F2813" s="132"/>
      <c r="G2813" s="132" t="s">
        <v>1108</v>
      </c>
      <c r="H2813" s="132" t="s">
        <v>373</v>
      </c>
      <c r="I2813" s="132" t="s">
        <v>1100</v>
      </c>
      <c r="J2813" s="132" t="s">
        <v>2052</v>
      </c>
      <c r="K2813" s="132" t="s">
        <v>2053</v>
      </c>
      <c r="L2813" s="132" t="s">
        <v>2054</v>
      </c>
      <c r="M2813" s="132" t="s">
        <v>7197</v>
      </c>
      <c r="N2813" s="132" t="s">
        <v>1112</v>
      </c>
      <c r="O2813" s="132" t="s">
        <v>7198</v>
      </c>
      <c r="P2813" s="132" t="s">
        <v>7194</v>
      </c>
      <c r="Q2813" s="132" t="s">
        <v>1108</v>
      </c>
    </row>
    <row r="2814" spans="1:17" x14ac:dyDescent="0.2">
      <c r="A2814" t="s">
        <v>163</v>
      </c>
      <c r="B2814" s="141">
        <f t="shared" si="45"/>
        <v>6.57</v>
      </c>
      <c r="C2814" s="280">
        <v>45930</v>
      </c>
      <c r="D2814" s="279">
        <v>45932</v>
      </c>
      <c r="E2814" s="279">
        <v>45932</v>
      </c>
      <c r="F2814" s="132"/>
      <c r="G2814" s="132" t="s">
        <v>5049</v>
      </c>
      <c r="H2814" s="132" t="s">
        <v>373</v>
      </c>
      <c r="I2814" s="132" t="s">
        <v>1100</v>
      </c>
      <c r="J2814" s="132" t="s">
        <v>2750</v>
      </c>
      <c r="K2814" s="132" t="s">
        <v>7051</v>
      </c>
      <c r="L2814" s="132" t="s">
        <v>2265</v>
      </c>
      <c r="M2814" s="132" t="s">
        <v>7199</v>
      </c>
      <c r="N2814" s="132" t="s">
        <v>1105</v>
      </c>
      <c r="O2814" s="132" t="s">
        <v>7200</v>
      </c>
      <c r="P2814" s="132" t="s">
        <v>7194</v>
      </c>
      <c r="Q2814" s="132" t="s">
        <v>1108</v>
      </c>
    </row>
    <row r="2815" spans="1:17" x14ac:dyDescent="0.2">
      <c r="A2815" t="s">
        <v>163</v>
      </c>
      <c r="B2815" s="141">
        <f t="shared" si="45"/>
        <v>6.5200000000000005</v>
      </c>
      <c r="C2815" s="280">
        <v>45930</v>
      </c>
      <c r="D2815" s="279">
        <v>45932</v>
      </c>
      <c r="E2815" s="279">
        <v>45932</v>
      </c>
      <c r="F2815" s="132"/>
      <c r="G2815" s="132" t="s">
        <v>1108</v>
      </c>
      <c r="H2815" s="132" t="s">
        <v>373</v>
      </c>
      <c r="I2815" s="132" t="s">
        <v>1100</v>
      </c>
      <c r="J2815" s="132" t="s">
        <v>2750</v>
      </c>
      <c r="K2815" s="132" t="s">
        <v>2751</v>
      </c>
      <c r="L2815" s="132" t="s">
        <v>2067</v>
      </c>
      <c r="M2815" s="132" t="s">
        <v>7201</v>
      </c>
      <c r="N2815" s="132" t="s">
        <v>1112</v>
      </c>
      <c r="O2815" s="132" t="s">
        <v>7202</v>
      </c>
      <c r="P2815" s="132" t="s">
        <v>7194</v>
      </c>
      <c r="Q2815" s="132" t="s">
        <v>1108</v>
      </c>
    </row>
    <row r="2816" spans="1:17" x14ac:dyDescent="0.2">
      <c r="A2816" t="s">
        <v>163</v>
      </c>
      <c r="B2816" s="141">
        <f t="shared" si="45"/>
        <v>6.57</v>
      </c>
      <c r="C2816" s="280">
        <v>45930</v>
      </c>
      <c r="D2816" s="279">
        <v>45932</v>
      </c>
      <c r="E2816" s="279">
        <v>45932</v>
      </c>
      <c r="F2816" s="132"/>
      <c r="G2816" s="132" t="s">
        <v>1555</v>
      </c>
      <c r="H2816" s="132" t="s">
        <v>373</v>
      </c>
      <c r="I2816" s="132" t="s">
        <v>1100</v>
      </c>
      <c r="J2816" s="132" t="s">
        <v>2750</v>
      </c>
      <c r="K2816" s="132" t="s">
        <v>7051</v>
      </c>
      <c r="L2816" s="132" t="s">
        <v>2265</v>
      </c>
      <c r="M2816" s="132" t="s">
        <v>7203</v>
      </c>
      <c r="N2816" s="132" t="s">
        <v>1105</v>
      </c>
      <c r="O2816" s="132" t="s">
        <v>7204</v>
      </c>
      <c r="P2816" s="132" t="s">
        <v>7194</v>
      </c>
      <c r="Q2816" s="132" t="s">
        <v>1108</v>
      </c>
    </row>
    <row r="2817" spans="1:17" x14ac:dyDescent="0.2">
      <c r="A2817" s="664" t="s">
        <v>164</v>
      </c>
      <c r="B2817" s="141">
        <f t="shared" si="45"/>
        <v>8.4700000000000006</v>
      </c>
      <c r="C2817" s="280">
        <v>45930</v>
      </c>
      <c r="D2817" s="279">
        <v>45932</v>
      </c>
      <c r="E2817" s="279">
        <v>45932</v>
      </c>
      <c r="F2817" s="132"/>
      <c r="G2817" s="132" t="s">
        <v>1108</v>
      </c>
      <c r="H2817" s="132" t="s">
        <v>373</v>
      </c>
      <c r="I2817" s="132" t="s">
        <v>1100</v>
      </c>
      <c r="J2817" s="132" t="s">
        <v>2052</v>
      </c>
      <c r="K2817" s="132" t="s">
        <v>2053</v>
      </c>
      <c r="L2817" s="132" t="s">
        <v>2054</v>
      </c>
      <c r="M2817" s="132" t="s">
        <v>7205</v>
      </c>
      <c r="N2817" s="132" t="s">
        <v>1112</v>
      </c>
      <c r="O2817" s="132" t="s">
        <v>7206</v>
      </c>
      <c r="P2817" s="132" t="s">
        <v>7194</v>
      </c>
      <c r="Q2817" s="132" t="s">
        <v>1108</v>
      </c>
    </row>
    <row r="2818" spans="1:17" x14ac:dyDescent="0.2">
      <c r="A2818" t="s">
        <v>163</v>
      </c>
      <c r="B2818" s="141">
        <f t="shared" si="45"/>
        <v>6.57</v>
      </c>
      <c r="C2818" s="280">
        <v>45930</v>
      </c>
      <c r="D2818" s="279">
        <v>45932</v>
      </c>
      <c r="E2818" s="279">
        <v>45932</v>
      </c>
      <c r="F2818" s="132"/>
      <c r="G2818" s="132" t="s">
        <v>1108</v>
      </c>
      <c r="H2818" s="132" t="s">
        <v>373</v>
      </c>
      <c r="I2818" s="132" t="s">
        <v>1100</v>
      </c>
      <c r="J2818" s="132" t="s">
        <v>2750</v>
      </c>
      <c r="K2818" s="132" t="s">
        <v>7051</v>
      </c>
      <c r="L2818" s="132" t="s">
        <v>2265</v>
      </c>
      <c r="M2818" s="132" t="s">
        <v>7207</v>
      </c>
      <c r="N2818" s="132" t="s">
        <v>1117</v>
      </c>
      <c r="O2818" s="132" t="s">
        <v>7208</v>
      </c>
      <c r="P2818" s="132" t="s">
        <v>7194</v>
      </c>
      <c r="Q2818" s="132" t="s">
        <v>1108</v>
      </c>
    </row>
    <row r="2819" spans="1:17" x14ac:dyDescent="0.2">
      <c r="A2819" t="s">
        <v>163</v>
      </c>
      <c r="B2819" s="141">
        <f t="shared" si="45"/>
        <v>6.57</v>
      </c>
      <c r="C2819" s="280">
        <v>45930</v>
      </c>
      <c r="D2819" s="279">
        <v>45932</v>
      </c>
      <c r="E2819" s="279">
        <v>45932</v>
      </c>
      <c r="F2819" s="132"/>
      <c r="G2819" s="132" t="s">
        <v>1108</v>
      </c>
      <c r="H2819" s="132" t="s">
        <v>373</v>
      </c>
      <c r="I2819" s="132" t="s">
        <v>1100</v>
      </c>
      <c r="J2819" s="132" t="s">
        <v>2750</v>
      </c>
      <c r="K2819" s="132" t="s">
        <v>7051</v>
      </c>
      <c r="L2819" s="132" t="s">
        <v>2265</v>
      </c>
      <c r="M2819" s="132" t="s">
        <v>7209</v>
      </c>
      <c r="N2819" s="132" t="s">
        <v>1117</v>
      </c>
      <c r="O2819" s="132" t="s">
        <v>7210</v>
      </c>
      <c r="P2819" s="132" t="s">
        <v>7194</v>
      </c>
      <c r="Q2819" s="132" t="s">
        <v>1108</v>
      </c>
    </row>
    <row r="2820" spans="1:17" x14ac:dyDescent="0.2">
      <c r="A2820" t="s">
        <v>163</v>
      </c>
      <c r="B2820" s="141">
        <f t="shared" si="45"/>
        <v>6.5200000000000005</v>
      </c>
      <c r="C2820" s="280">
        <v>45930</v>
      </c>
      <c r="D2820" s="279">
        <v>45932</v>
      </c>
      <c r="E2820" s="279">
        <v>45932</v>
      </c>
      <c r="F2820" s="132"/>
      <c r="G2820" s="132" t="s">
        <v>1108</v>
      </c>
      <c r="H2820" s="132" t="s">
        <v>373</v>
      </c>
      <c r="I2820" s="132" t="s">
        <v>1100</v>
      </c>
      <c r="J2820" s="132" t="s">
        <v>2750</v>
      </c>
      <c r="K2820" s="132" t="s">
        <v>2751</v>
      </c>
      <c r="L2820" s="132" t="s">
        <v>2067</v>
      </c>
      <c r="M2820" s="132" t="s">
        <v>7211</v>
      </c>
      <c r="N2820" s="132" t="s">
        <v>1112</v>
      </c>
      <c r="O2820" s="132" t="s">
        <v>7212</v>
      </c>
      <c r="P2820" s="132" t="s">
        <v>7194</v>
      </c>
      <c r="Q2820" s="132" t="s">
        <v>1108</v>
      </c>
    </row>
    <row r="2821" spans="1:17" x14ac:dyDescent="0.2">
      <c r="A2821" t="s">
        <v>163</v>
      </c>
      <c r="B2821" s="141">
        <f t="shared" si="45"/>
        <v>6.57</v>
      </c>
      <c r="C2821" s="280">
        <v>45931</v>
      </c>
      <c r="D2821" s="279">
        <v>45933</v>
      </c>
      <c r="E2821" s="279">
        <v>45933</v>
      </c>
      <c r="F2821" s="132"/>
      <c r="G2821" s="132" t="s">
        <v>4817</v>
      </c>
      <c r="H2821" s="132" t="s">
        <v>373</v>
      </c>
      <c r="I2821" s="132" t="s">
        <v>1100</v>
      </c>
      <c r="J2821" s="132" t="s">
        <v>2750</v>
      </c>
      <c r="K2821" s="132" t="s">
        <v>7051</v>
      </c>
      <c r="L2821" s="132" t="s">
        <v>2265</v>
      </c>
      <c r="M2821" s="132" t="s">
        <v>7213</v>
      </c>
      <c r="N2821" s="132" t="s">
        <v>1105</v>
      </c>
      <c r="O2821" s="132" t="s">
        <v>7214</v>
      </c>
      <c r="P2821" s="132" t="s">
        <v>7215</v>
      </c>
      <c r="Q2821" s="132" t="s">
        <v>1108</v>
      </c>
    </row>
    <row r="2822" spans="1:17" x14ac:dyDescent="0.2">
      <c r="A2822" t="s">
        <v>163</v>
      </c>
      <c r="B2822" s="141">
        <f t="shared" si="45"/>
        <v>6.57</v>
      </c>
      <c r="C2822" s="280">
        <v>45931</v>
      </c>
      <c r="D2822" s="279">
        <v>45933</v>
      </c>
      <c r="E2822" s="279">
        <v>45933</v>
      </c>
      <c r="F2822" s="132"/>
      <c r="G2822" s="132" t="s">
        <v>1108</v>
      </c>
      <c r="H2822" s="132" t="s">
        <v>373</v>
      </c>
      <c r="I2822" s="132" t="s">
        <v>1100</v>
      </c>
      <c r="J2822" s="132" t="s">
        <v>2750</v>
      </c>
      <c r="K2822" s="132" t="s">
        <v>7051</v>
      </c>
      <c r="L2822" s="132" t="s">
        <v>2265</v>
      </c>
      <c r="M2822" s="132" t="s">
        <v>7216</v>
      </c>
      <c r="N2822" s="132" t="s">
        <v>4957</v>
      </c>
      <c r="O2822" s="132" t="s">
        <v>7217</v>
      </c>
      <c r="P2822" s="132" t="s">
        <v>7215</v>
      </c>
      <c r="Q2822" s="132" t="s">
        <v>1108</v>
      </c>
    </row>
    <row r="2823" spans="1:17" x14ac:dyDescent="0.2">
      <c r="A2823" s="664" t="s">
        <v>164</v>
      </c>
      <c r="B2823" s="141">
        <f t="shared" si="45"/>
        <v>8.4700000000000006</v>
      </c>
      <c r="C2823" s="280">
        <v>45931</v>
      </c>
      <c r="D2823" s="279">
        <v>45933</v>
      </c>
      <c r="E2823" s="279">
        <v>45933</v>
      </c>
      <c r="F2823" s="132"/>
      <c r="G2823" s="132" t="s">
        <v>1108</v>
      </c>
      <c r="H2823" s="132" t="s">
        <v>373</v>
      </c>
      <c r="I2823" s="132" t="s">
        <v>1100</v>
      </c>
      <c r="J2823" s="132" t="s">
        <v>2052</v>
      </c>
      <c r="K2823" s="132" t="s">
        <v>2053</v>
      </c>
      <c r="L2823" s="132" t="s">
        <v>2054</v>
      </c>
      <c r="M2823" s="132" t="s">
        <v>7218</v>
      </c>
      <c r="N2823" s="132" t="s">
        <v>1112</v>
      </c>
      <c r="O2823" s="132" t="s">
        <v>7219</v>
      </c>
      <c r="P2823" s="132" t="s">
        <v>7215</v>
      </c>
      <c r="Q2823" s="132" t="s">
        <v>1108</v>
      </c>
    </row>
    <row r="2824" spans="1:17" x14ac:dyDescent="0.2">
      <c r="A2824" t="s">
        <v>163</v>
      </c>
      <c r="B2824" s="141">
        <f t="shared" si="45"/>
        <v>6.57</v>
      </c>
      <c r="C2824" s="280">
        <v>45931</v>
      </c>
      <c r="D2824" s="279">
        <v>45933</v>
      </c>
      <c r="E2824" s="279">
        <v>45933</v>
      </c>
      <c r="F2824" s="132"/>
      <c r="G2824" s="132" t="s">
        <v>1108</v>
      </c>
      <c r="H2824" s="132" t="s">
        <v>373</v>
      </c>
      <c r="I2824" s="132" t="s">
        <v>1100</v>
      </c>
      <c r="J2824" s="132" t="s">
        <v>2750</v>
      </c>
      <c r="K2824" s="132" t="s">
        <v>7051</v>
      </c>
      <c r="L2824" s="132" t="s">
        <v>2265</v>
      </c>
      <c r="M2824" s="132" t="s">
        <v>7220</v>
      </c>
      <c r="N2824" s="132" t="s">
        <v>1117</v>
      </c>
      <c r="O2824" s="132" t="s">
        <v>7221</v>
      </c>
      <c r="P2824" s="132" t="s">
        <v>7215</v>
      </c>
      <c r="Q2824" s="132" t="s">
        <v>1108</v>
      </c>
    </row>
    <row r="2825" spans="1:17" x14ac:dyDescent="0.2">
      <c r="A2825" t="s">
        <v>163</v>
      </c>
      <c r="B2825" s="141">
        <f t="shared" si="45"/>
        <v>6.5200000000000005</v>
      </c>
      <c r="C2825" s="280">
        <v>45931</v>
      </c>
      <c r="D2825" s="279">
        <v>45933</v>
      </c>
      <c r="E2825" s="279">
        <v>45933</v>
      </c>
      <c r="F2825" s="132"/>
      <c r="G2825" s="132" t="s">
        <v>1108</v>
      </c>
      <c r="H2825" s="132" t="s">
        <v>373</v>
      </c>
      <c r="I2825" s="132" t="s">
        <v>1100</v>
      </c>
      <c r="J2825" s="132" t="s">
        <v>2750</v>
      </c>
      <c r="K2825" s="132" t="s">
        <v>2751</v>
      </c>
      <c r="L2825" s="132" t="s">
        <v>2067</v>
      </c>
      <c r="M2825" s="132" t="s">
        <v>7222</v>
      </c>
      <c r="N2825" s="132" t="s">
        <v>1112</v>
      </c>
      <c r="O2825" s="132" t="s">
        <v>7223</v>
      </c>
      <c r="P2825" s="132" t="s">
        <v>7215</v>
      </c>
      <c r="Q2825" s="132" t="s">
        <v>1108</v>
      </c>
    </row>
    <row r="2826" spans="1:17" x14ac:dyDescent="0.2">
      <c r="A2826" t="s">
        <v>163</v>
      </c>
      <c r="B2826" s="141">
        <f t="shared" si="45"/>
        <v>6.57</v>
      </c>
      <c r="C2826" s="280">
        <v>45931</v>
      </c>
      <c r="D2826" s="279">
        <v>45933</v>
      </c>
      <c r="E2826" s="279">
        <v>45933</v>
      </c>
      <c r="F2826" s="132"/>
      <c r="G2826" s="132" t="s">
        <v>1108</v>
      </c>
      <c r="H2826" s="132" t="s">
        <v>373</v>
      </c>
      <c r="I2826" s="132" t="s">
        <v>1100</v>
      </c>
      <c r="J2826" s="132" t="s">
        <v>2750</v>
      </c>
      <c r="K2826" s="132" t="s">
        <v>7051</v>
      </c>
      <c r="L2826" s="132" t="s">
        <v>2265</v>
      </c>
      <c r="M2826" s="132" t="s">
        <v>7224</v>
      </c>
      <c r="N2826" s="132" t="s">
        <v>1117</v>
      </c>
      <c r="O2826" s="132" t="s">
        <v>7225</v>
      </c>
      <c r="P2826" s="132" t="s">
        <v>7215</v>
      </c>
      <c r="Q2826" s="132" t="s">
        <v>1108</v>
      </c>
    </row>
    <row r="2827" spans="1:17" x14ac:dyDescent="0.2">
      <c r="A2827" t="s">
        <v>163</v>
      </c>
      <c r="B2827" s="141">
        <f t="shared" si="45"/>
        <v>6.57</v>
      </c>
      <c r="C2827" s="280">
        <v>45931</v>
      </c>
      <c r="D2827" s="279">
        <v>45933</v>
      </c>
      <c r="E2827" s="279">
        <v>45933</v>
      </c>
      <c r="F2827" s="132"/>
      <c r="G2827" s="132" t="s">
        <v>5558</v>
      </c>
      <c r="H2827" s="132" t="s">
        <v>373</v>
      </c>
      <c r="I2827" s="132" t="s">
        <v>1100</v>
      </c>
      <c r="J2827" s="132" t="s">
        <v>2750</v>
      </c>
      <c r="K2827" s="132" t="s">
        <v>7051</v>
      </c>
      <c r="L2827" s="132" t="s">
        <v>2265</v>
      </c>
      <c r="M2827" s="281" t="s">
        <v>7226</v>
      </c>
      <c r="N2827" s="132" t="s">
        <v>1105</v>
      </c>
      <c r="O2827" s="132" t="s">
        <v>7227</v>
      </c>
      <c r="P2827" s="132" t="s">
        <v>7215</v>
      </c>
      <c r="Q2827" s="132" t="s">
        <v>1108</v>
      </c>
    </row>
    <row r="2828" spans="1:17" x14ac:dyDescent="0.2">
      <c r="A2828" t="s">
        <v>163</v>
      </c>
      <c r="B2828" s="141">
        <f t="shared" si="45"/>
        <v>6.57</v>
      </c>
      <c r="C2828" s="280">
        <v>45932</v>
      </c>
      <c r="D2828" s="279">
        <v>45936</v>
      </c>
      <c r="E2828" s="279">
        <v>45936</v>
      </c>
      <c r="F2828" s="132"/>
      <c r="G2828" s="132" t="s">
        <v>1108</v>
      </c>
      <c r="H2828" s="132" t="s">
        <v>373</v>
      </c>
      <c r="I2828" s="132" t="s">
        <v>1100</v>
      </c>
      <c r="J2828" s="132" t="s">
        <v>2750</v>
      </c>
      <c r="K2828" s="132" t="s">
        <v>7051</v>
      </c>
      <c r="L2828" s="132" t="s">
        <v>2265</v>
      </c>
      <c r="M2828" s="132" t="s">
        <v>7228</v>
      </c>
      <c r="N2828" s="132" t="s">
        <v>1117</v>
      </c>
      <c r="O2828" s="132" t="s">
        <v>7229</v>
      </c>
      <c r="P2828" s="132" t="s">
        <v>7230</v>
      </c>
      <c r="Q2828" s="132" t="s">
        <v>1108</v>
      </c>
    </row>
    <row r="2829" spans="1:17" x14ac:dyDescent="0.2">
      <c r="A2829" t="s">
        <v>163</v>
      </c>
      <c r="B2829" s="141">
        <f t="shared" si="45"/>
        <v>6.57</v>
      </c>
      <c r="C2829" s="280">
        <v>45932</v>
      </c>
      <c r="D2829" s="279">
        <v>45936</v>
      </c>
      <c r="E2829" s="279">
        <v>45936</v>
      </c>
      <c r="F2829" s="132"/>
      <c r="G2829" s="132" t="s">
        <v>1108</v>
      </c>
      <c r="H2829" s="132" t="s">
        <v>373</v>
      </c>
      <c r="I2829" s="132" t="s">
        <v>1100</v>
      </c>
      <c r="J2829" s="132" t="s">
        <v>2750</v>
      </c>
      <c r="K2829" s="132" t="s">
        <v>7051</v>
      </c>
      <c r="L2829" s="132" t="s">
        <v>2265</v>
      </c>
      <c r="M2829" s="132" t="s">
        <v>7231</v>
      </c>
      <c r="N2829" s="132" t="s">
        <v>1117</v>
      </c>
      <c r="O2829" s="132" t="s">
        <v>7232</v>
      </c>
      <c r="P2829" s="132" t="s">
        <v>7230</v>
      </c>
      <c r="Q2829" s="132" t="s">
        <v>1108</v>
      </c>
    </row>
    <row r="2830" spans="1:17" x14ac:dyDescent="0.2">
      <c r="A2830" s="664" t="s">
        <v>164</v>
      </c>
      <c r="B2830" s="141">
        <f t="shared" si="45"/>
        <v>8.5299999999999994</v>
      </c>
      <c r="C2830" s="280">
        <v>45932</v>
      </c>
      <c r="D2830" s="279">
        <v>45936</v>
      </c>
      <c r="E2830" s="279">
        <v>45936</v>
      </c>
      <c r="F2830" s="132"/>
      <c r="G2830" s="132" t="s">
        <v>1108</v>
      </c>
      <c r="H2830" s="132" t="s">
        <v>373</v>
      </c>
      <c r="I2830" s="132" t="s">
        <v>1100</v>
      </c>
      <c r="J2830" s="132" t="s">
        <v>2052</v>
      </c>
      <c r="K2830" s="132" t="s">
        <v>2170</v>
      </c>
      <c r="L2830" s="132" t="s">
        <v>2171</v>
      </c>
      <c r="M2830" s="132" t="s">
        <v>7233</v>
      </c>
      <c r="N2830" s="132" t="s">
        <v>1117</v>
      </c>
      <c r="O2830" s="132" t="s">
        <v>7234</v>
      </c>
      <c r="P2830" s="132" t="s">
        <v>7230</v>
      </c>
      <c r="Q2830" s="132" t="s">
        <v>1108</v>
      </c>
    </row>
    <row r="2831" spans="1:17" x14ac:dyDescent="0.2">
      <c r="A2831" s="664" t="s">
        <v>164</v>
      </c>
      <c r="B2831" s="141">
        <f t="shared" si="45"/>
        <v>8.5299999999999994</v>
      </c>
      <c r="C2831" s="280">
        <v>45932</v>
      </c>
      <c r="D2831" s="279">
        <v>45936</v>
      </c>
      <c r="E2831" s="279">
        <v>45936</v>
      </c>
      <c r="F2831" s="132"/>
      <c r="G2831" s="132" t="s">
        <v>4782</v>
      </c>
      <c r="H2831" s="132" t="s">
        <v>373</v>
      </c>
      <c r="I2831" s="132" t="s">
        <v>1100</v>
      </c>
      <c r="J2831" s="132" t="s">
        <v>2052</v>
      </c>
      <c r="K2831" s="132" t="s">
        <v>2170</v>
      </c>
      <c r="L2831" s="132" t="s">
        <v>2171</v>
      </c>
      <c r="M2831" s="132" t="s">
        <v>7235</v>
      </c>
      <c r="N2831" s="132" t="s">
        <v>1105</v>
      </c>
      <c r="O2831" s="132" t="s">
        <v>7236</v>
      </c>
      <c r="P2831" s="132" t="s">
        <v>7230</v>
      </c>
      <c r="Q2831" s="132" t="s">
        <v>1108</v>
      </c>
    </row>
    <row r="2832" spans="1:17" x14ac:dyDescent="0.2">
      <c r="A2832" s="664" t="s">
        <v>164</v>
      </c>
      <c r="B2832" s="141">
        <f t="shared" si="45"/>
        <v>8.4700000000000006</v>
      </c>
      <c r="C2832" s="280">
        <v>45932</v>
      </c>
      <c r="D2832" s="279">
        <v>45936</v>
      </c>
      <c r="E2832" s="279">
        <v>45936</v>
      </c>
      <c r="F2832" s="132"/>
      <c r="G2832" s="132" t="s">
        <v>1108</v>
      </c>
      <c r="H2832" s="132" t="s">
        <v>373</v>
      </c>
      <c r="I2832" s="132" t="s">
        <v>1100</v>
      </c>
      <c r="J2832" s="132" t="s">
        <v>2052</v>
      </c>
      <c r="K2832" s="132" t="s">
        <v>2053</v>
      </c>
      <c r="L2832" s="132" t="s">
        <v>2054</v>
      </c>
      <c r="M2832" s="132" t="s">
        <v>7237</v>
      </c>
      <c r="N2832" s="132" t="s">
        <v>1112</v>
      </c>
      <c r="O2832" s="132" t="s">
        <v>7238</v>
      </c>
      <c r="P2832" s="132" t="s">
        <v>7230</v>
      </c>
      <c r="Q2832" s="132" t="s">
        <v>1108</v>
      </c>
    </row>
    <row r="2833" spans="1:17" x14ac:dyDescent="0.2">
      <c r="A2833" s="664" t="s">
        <v>164</v>
      </c>
      <c r="B2833" s="141">
        <f t="shared" si="45"/>
        <v>8.4700000000000006</v>
      </c>
      <c r="C2833" s="280">
        <v>45932</v>
      </c>
      <c r="D2833" s="279">
        <v>45936</v>
      </c>
      <c r="E2833" s="279">
        <v>45936</v>
      </c>
      <c r="F2833" s="132"/>
      <c r="G2833" s="132" t="s">
        <v>1108</v>
      </c>
      <c r="H2833" s="132" t="s">
        <v>373</v>
      </c>
      <c r="I2833" s="132" t="s">
        <v>1100</v>
      </c>
      <c r="J2833" s="132" t="s">
        <v>2052</v>
      </c>
      <c r="K2833" s="132" t="s">
        <v>2053</v>
      </c>
      <c r="L2833" s="132" t="s">
        <v>2054</v>
      </c>
      <c r="M2833" s="132" t="s">
        <v>7239</v>
      </c>
      <c r="N2833" s="132" t="s">
        <v>1112</v>
      </c>
      <c r="O2833" s="132" t="s">
        <v>7240</v>
      </c>
      <c r="P2833" s="132" t="s">
        <v>7230</v>
      </c>
      <c r="Q2833" s="132" t="s">
        <v>1108</v>
      </c>
    </row>
    <row r="2834" spans="1:17" x14ac:dyDescent="0.2">
      <c r="A2834" t="s">
        <v>163</v>
      </c>
      <c r="B2834" s="141">
        <f t="shared" si="45"/>
        <v>6.57</v>
      </c>
      <c r="C2834" s="280">
        <v>45932</v>
      </c>
      <c r="D2834" s="279">
        <v>45936</v>
      </c>
      <c r="E2834" s="279">
        <v>45936</v>
      </c>
      <c r="F2834" s="132"/>
      <c r="G2834" s="132" t="s">
        <v>4658</v>
      </c>
      <c r="H2834" s="132" t="s">
        <v>373</v>
      </c>
      <c r="I2834" s="132" t="s">
        <v>1100</v>
      </c>
      <c r="J2834" s="132" t="s">
        <v>2750</v>
      </c>
      <c r="K2834" s="132" t="s">
        <v>7051</v>
      </c>
      <c r="L2834" s="132" t="s">
        <v>2265</v>
      </c>
      <c r="M2834" s="132" t="s">
        <v>7241</v>
      </c>
      <c r="N2834" s="132" t="s">
        <v>1105</v>
      </c>
      <c r="O2834" s="132" t="s">
        <v>7242</v>
      </c>
      <c r="P2834" s="132" t="s">
        <v>7230</v>
      </c>
      <c r="Q2834" s="132" t="s">
        <v>1108</v>
      </c>
    </row>
    <row r="2835" spans="1:17" x14ac:dyDescent="0.2">
      <c r="A2835" t="s">
        <v>163</v>
      </c>
      <c r="B2835" s="141">
        <f t="shared" si="45"/>
        <v>6.57</v>
      </c>
      <c r="C2835" s="280">
        <v>45932</v>
      </c>
      <c r="D2835" s="279">
        <v>45936</v>
      </c>
      <c r="E2835" s="279">
        <v>45936</v>
      </c>
      <c r="F2835" s="132"/>
      <c r="G2835" s="132" t="s">
        <v>4847</v>
      </c>
      <c r="H2835" s="132" t="s">
        <v>373</v>
      </c>
      <c r="I2835" s="132" t="s">
        <v>1100</v>
      </c>
      <c r="J2835" s="132" t="s">
        <v>2750</v>
      </c>
      <c r="K2835" s="132" t="s">
        <v>7051</v>
      </c>
      <c r="L2835" s="132" t="s">
        <v>2265</v>
      </c>
      <c r="M2835" s="132" t="s">
        <v>7243</v>
      </c>
      <c r="N2835" s="132" t="s">
        <v>1105</v>
      </c>
      <c r="O2835" s="132" t="s">
        <v>7244</v>
      </c>
      <c r="P2835" s="132" t="s">
        <v>7230</v>
      </c>
      <c r="Q2835" s="132" t="s">
        <v>1108</v>
      </c>
    </row>
    <row r="2836" spans="1:17" x14ac:dyDescent="0.2">
      <c r="A2836" t="s">
        <v>163</v>
      </c>
      <c r="B2836" s="141">
        <f t="shared" si="45"/>
        <v>6.57</v>
      </c>
      <c r="C2836" s="280">
        <v>45932</v>
      </c>
      <c r="D2836" s="279">
        <v>45936</v>
      </c>
      <c r="E2836" s="279">
        <v>45936</v>
      </c>
      <c r="F2836" s="132"/>
      <c r="G2836" s="132" t="s">
        <v>4699</v>
      </c>
      <c r="H2836" s="132" t="s">
        <v>373</v>
      </c>
      <c r="I2836" s="132" t="s">
        <v>1100</v>
      </c>
      <c r="J2836" s="132" t="s">
        <v>2750</v>
      </c>
      <c r="K2836" s="132" t="s">
        <v>7051</v>
      </c>
      <c r="L2836" s="132" t="s">
        <v>2265</v>
      </c>
      <c r="M2836" s="132" t="s">
        <v>7245</v>
      </c>
      <c r="N2836" s="132" t="s">
        <v>1105</v>
      </c>
      <c r="O2836" s="132" t="s">
        <v>7246</v>
      </c>
      <c r="P2836" s="132" t="s">
        <v>7230</v>
      </c>
      <c r="Q2836" s="132" t="s">
        <v>1108</v>
      </c>
    </row>
    <row r="2837" spans="1:17" x14ac:dyDescent="0.2">
      <c r="A2837" t="s">
        <v>163</v>
      </c>
      <c r="B2837" s="141">
        <f t="shared" si="45"/>
        <v>6.57</v>
      </c>
      <c r="C2837" s="280">
        <v>45932</v>
      </c>
      <c r="D2837" s="279">
        <v>45936</v>
      </c>
      <c r="E2837" s="279">
        <v>45936</v>
      </c>
      <c r="F2837" s="132"/>
      <c r="G2837" s="132" t="s">
        <v>1108</v>
      </c>
      <c r="H2837" s="132" t="s">
        <v>373</v>
      </c>
      <c r="I2837" s="132" t="s">
        <v>1100</v>
      </c>
      <c r="J2837" s="132" t="s">
        <v>2750</v>
      </c>
      <c r="K2837" s="132" t="s">
        <v>7051</v>
      </c>
      <c r="L2837" s="132" t="s">
        <v>2265</v>
      </c>
      <c r="M2837" s="132" t="s">
        <v>7247</v>
      </c>
      <c r="N2837" s="132" t="s">
        <v>1117</v>
      </c>
      <c r="O2837" s="132" t="s">
        <v>7248</v>
      </c>
      <c r="P2837" s="132" t="s">
        <v>7230</v>
      </c>
      <c r="Q2837" s="132" t="s">
        <v>1108</v>
      </c>
    </row>
    <row r="2838" spans="1:17" x14ac:dyDescent="0.2">
      <c r="A2838" t="s">
        <v>163</v>
      </c>
      <c r="B2838" s="141">
        <f t="shared" si="45"/>
        <v>6.57</v>
      </c>
      <c r="C2838" s="280">
        <v>45932</v>
      </c>
      <c r="D2838" s="279">
        <v>45936</v>
      </c>
      <c r="E2838" s="279">
        <v>45936</v>
      </c>
      <c r="F2838" s="132"/>
      <c r="G2838" s="132" t="s">
        <v>1108</v>
      </c>
      <c r="H2838" s="132" t="s">
        <v>373</v>
      </c>
      <c r="I2838" s="132" t="s">
        <v>1100</v>
      </c>
      <c r="J2838" s="132" t="s">
        <v>2750</v>
      </c>
      <c r="K2838" s="132" t="s">
        <v>7051</v>
      </c>
      <c r="L2838" s="132" t="s">
        <v>2265</v>
      </c>
      <c r="M2838" s="132" t="s">
        <v>7249</v>
      </c>
      <c r="N2838" s="132" t="s">
        <v>1117</v>
      </c>
      <c r="O2838" s="132" t="s">
        <v>7250</v>
      </c>
      <c r="P2838" s="132" t="s">
        <v>7230</v>
      </c>
      <c r="Q2838" s="132" t="s">
        <v>1108</v>
      </c>
    </row>
    <row r="2839" spans="1:17" x14ac:dyDescent="0.2">
      <c r="A2839" t="s">
        <v>163</v>
      </c>
      <c r="B2839" s="141">
        <f t="shared" si="45"/>
        <v>6.57</v>
      </c>
      <c r="C2839" s="280">
        <v>45933</v>
      </c>
      <c r="D2839" s="279">
        <v>45937</v>
      </c>
      <c r="E2839" s="279">
        <v>45937</v>
      </c>
      <c r="F2839" s="132"/>
      <c r="G2839" s="132" t="s">
        <v>1108</v>
      </c>
      <c r="H2839" s="132" t="s">
        <v>373</v>
      </c>
      <c r="I2839" s="132" t="s">
        <v>1100</v>
      </c>
      <c r="J2839" s="132" t="s">
        <v>2750</v>
      </c>
      <c r="K2839" s="132" t="s">
        <v>7051</v>
      </c>
      <c r="L2839" s="132" t="s">
        <v>2265</v>
      </c>
      <c r="M2839" s="132" t="s">
        <v>7251</v>
      </c>
      <c r="N2839" s="132" t="s">
        <v>1117</v>
      </c>
      <c r="O2839" s="132" t="s">
        <v>7252</v>
      </c>
      <c r="P2839" s="132" t="s">
        <v>7253</v>
      </c>
      <c r="Q2839" s="132" t="s">
        <v>1108</v>
      </c>
    </row>
    <row r="2840" spans="1:17" x14ac:dyDescent="0.2">
      <c r="A2840" t="s">
        <v>163</v>
      </c>
      <c r="B2840" s="141">
        <f t="shared" si="45"/>
        <v>6.57</v>
      </c>
      <c r="C2840" s="280">
        <v>45933</v>
      </c>
      <c r="D2840" s="279">
        <v>45937</v>
      </c>
      <c r="E2840" s="279">
        <v>45937</v>
      </c>
      <c r="F2840" s="132"/>
      <c r="G2840" s="132" t="s">
        <v>1108</v>
      </c>
      <c r="H2840" s="132" t="s">
        <v>373</v>
      </c>
      <c r="I2840" s="132" t="s">
        <v>1100</v>
      </c>
      <c r="J2840" s="132" t="s">
        <v>2750</v>
      </c>
      <c r="K2840" s="132" t="s">
        <v>7051</v>
      </c>
      <c r="L2840" s="132" t="s">
        <v>2265</v>
      </c>
      <c r="M2840" s="132" t="s">
        <v>7254</v>
      </c>
      <c r="N2840" s="132" t="s">
        <v>1117</v>
      </c>
      <c r="O2840" s="132" t="s">
        <v>7255</v>
      </c>
      <c r="P2840" s="132" t="s">
        <v>7253</v>
      </c>
      <c r="Q2840" s="132" t="s">
        <v>1108</v>
      </c>
    </row>
    <row r="2841" spans="1:17" x14ac:dyDescent="0.2">
      <c r="A2841" t="s">
        <v>163</v>
      </c>
      <c r="B2841" s="141">
        <f t="shared" si="45"/>
        <v>6.57</v>
      </c>
      <c r="C2841" s="280">
        <v>45933</v>
      </c>
      <c r="D2841" s="279">
        <v>45937</v>
      </c>
      <c r="E2841" s="279">
        <v>45937</v>
      </c>
      <c r="F2841" s="132"/>
      <c r="G2841" s="132" t="s">
        <v>1449</v>
      </c>
      <c r="H2841" s="132" t="s">
        <v>373</v>
      </c>
      <c r="I2841" s="132" t="s">
        <v>1100</v>
      </c>
      <c r="J2841" s="132" t="s">
        <v>2750</v>
      </c>
      <c r="K2841" s="132" t="s">
        <v>7051</v>
      </c>
      <c r="L2841" s="132" t="s">
        <v>2265</v>
      </c>
      <c r="M2841" s="132" t="s">
        <v>7256</v>
      </c>
      <c r="N2841" s="132" t="s">
        <v>1105</v>
      </c>
      <c r="O2841" s="132" t="s">
        <v>7257</v>
      </c>
      <c r="P2841" s="132" t="s">
        <v>7253</v>
      </c>
      <c r="Q2841" s="132" t="s">
        <v>1108</v>
      </c>
    </row>
    <row r="2842" spans="1:17" x14ac:dyDescent="0.2">
      <c r="A2842" t="s">
        <v>163</v>
      </c>
      <c r="B2842" s="141">
        <f t="shared" si="45"/>
        <v>6.57</v>
      </c>
      <c r="C2842" s="280">
        <v>45933</v>
      </c>
      <c r="D2842" s="279">
        <v>45937</v>
      </c>
      <c r="E2842" s="279">
        <v>45937</v>
      </c>
      <c r="F2842" s="132"/>
      <c r="G2842" s="132" t="s">
        <v>1108</v>
      </c>
      <c r="H2842" s="132" t="s">
        <v>373</v>
      </c>
      <c r="I2842" s="132" t="s">
        <v>1100</v>
      </c>
      <c r="J2842" s="132" t="s">
        <v>2750</v>
      </c>
      <c r="K2842" s="132" t="s">
        <v>7051</v>
      </c>
      <c r="L2842" s="132" t="s">
        <v>2265</v>
      </c>
      <c r="M2842" s="132" t="s">
        <v>7258</v>
      </c>
      <c r="N2842" s="132" t="s">
        <v>1117</v>
      </c>
      <c r="O2842" s="132" t="s">
        <v>7259</v>
      </c>
      <c r="P2842" s="132" t="s">
        <v>7253</v>
      </c>
      <c r="Q2842" s="132" t="s">
        <v>1108</v>
      </c>
    </row>
    <row r="2843" spans="1:17" x14ac:dyDescent="0.2">
      <c r="A2843" t="s">
        <v>163</v>
      </c>
      <c r="B2843" s="141">
        <f t="shared" si="45"/>
        <v>6.5200000000000005</v>
      </c>
      <c r="C2843" s="280">
        <v>45933</v>
      </c>
      <c r="D2843" s="279">
        <v>45937</v>
      </c>
      <c r="E2843" s="279">
        <v>45937</v>
      </c>
      <c r="F2843" s="132"/>
      <c r="G2843" s="132" t="s">
        <v>1108</v>
      </c>
      <c r="H2843" s="132" t="s">
        <v>373</v>
      </c>
      <c r="I2843" s="132" t="s">
        <v>1100</v>
      </c>
      <c r="J2843" s="132" t="s">
        <v>2750</v>
      </c>
      <c r="K2843" s="132" t="s">
        <v>2751</v>
      </c>
      <c r="L2843" s="132" t="s">
        <v>2067</v>
      </c>
      <c r="M2843" s="132" t="s">
        <v>7260</v>
      </c>
      <c r="N2843" s="132" t="s">
        <v>1112</v>
      </c>
      <c r="O2843" s="132" t="s">
        <v>7261</v>
      </c>
      <c r="P2843" s="132" t="s">
        <v>7253</v>
      </c>
      <c r="Q2843" s="132" t="s">
        <v>1108</v>
      </c>
    </row>
    <row r="2844" spans="1:17" x14ac:dyDescent="0.2">
      <c r="A2844" s="664" t="s">
        <v>164</v>
      </c>
      <c r="B2844" s="141">
        <f t="shared" si="45"/>
        <v>8.5299999999999994</v>
      </c>
      <c r="C2844" s="280">
        <v>45933</v>
      </c>
      <c r="D2844" s="279">
        <v>45937</v>
      </c>
      <c r="E2844" s="279">
        <v>45937</v>
      </c>
      <c r="F2844" s="132"/>
      <c r="G2844" s="132" t="s">
        <v>1108</v>
      </c>
      <c r="H2844" s="132" t="s">
        <v>373</v>
      </c>
      <c r="I2844" s="132" t="s">
        <v>1100</v>
      </c>
      <c r="J2844" s="132" t="s">
        <v>2052</v>
      </c>
      <c r="K2844" s="132" t="s">
        <v>2170</v>
      </c>
      <c r="L2844" s="132" t="s">
        <v>2171</v>
      </c>
      <c r="M2844" s="132" t="s">
        <v>7262</v>
      </c>
      <c r="N2844" s="132" t="s">
        <v>1117</v>
      </c>
      <c r="O2844" s="132" t="s">
        <v>7263</v>
      </c>
      <c r="P2844" s="132" t="s">
        <v>7253</v>
      </c>
      <c r="Q2844" s="132" t="s">
        <v>1108</v>
      </c>
    </row>
    <row r="2845" spans="1:17" x14ac:dyDescent="0.2">
      <c r="A2845" t="s">
        <v>163</v>
      </c>
      <c r="B2845" s="141">
        <f t="shared" si="45"/>
        <v>6.57</v>
      </c>
      <c r="C2845" s="280">
        <v>45934</v>
      </c>
      <c r="D2845" s="279">
        <v>45937</v>
      </c>
      <c r="E2845" s="279">
        <v>45937</v>
      </c>
      <c r="F2845" s="132"/>
      <c r="G2845" s="132" t="s">
        <v>5396</v>
      </c>
      <c r="H2845" s="132" t="s">
        <v>373</v>
      </c>
      <c r="I2845" s="132" t="s">
        <v>1100</v>
      </c>
      <c r="J2845" s="132" t="s">
        <v>2750</v>
      </c>
      <c r="K2845" s="132" t="s">
        <v>7051</v>
      </c>
      <c r="L2845" s="132" t="s">
        <v>2265</v>
      </c>
      <c r="M2845" s="132" t="s">
        <v>7264</v>
      </c>
      <c r="N2845" s="132" t="s">
        <v>1105</v>
      </c>
      <c r="O2845" s="132" t="s">
        <v>7265</v>
      </c>
      <c r="P2845" s="132" t="s">
        <v>7253</v>
      </c>
      <c r="Q2845" s="132" t="s">
        <v>1108</v>
      </c>
    </row>
    <row r="2846" spans="1:17" x14ac:dyDescent="0.2">
      <c r="A2846" s="664" t="s">
        <v>164</v>
      </c>
      <c r="B2846" s="141">
        <f t="shared" si="45"/>
        <v>8.4700000000000006</v>
      </c>
      <c r="C2846" s="280">
        <v>45934</v>
      </c>
      <c r="D2846" s="279">
        <v>45937</v>
      </c>
      <c r="E2846" s="279">
        <v>45937</v>
      </c>
      <c r="F2846" s="132"/>
      <c r="G2846" s="132" t="s">
        <v>1108</v>
      </c>
      <c r="H2846" s="132" t="s">
        <v>373</v>
      </c>
      <c r="I2846" s="132" t="s">
        <v>1100</v>
      </c>
      <c r="J2846" s="132" t="s">
        <v>2052</v>
      </c>
      <c r="K2846" s="132" t="s">
        <v>2053</v>
      </c>
      <c r="L2846" s="132" t="s">
        <v>2054</v>
      </c>
      <c r="M2846" s="132" t="s">
        <v>7266</v>
      </c>
      <c r="N2846" s="132" t="s">
        <v>1112</v>
      </c>
      <c r="O2846" s="132" t="s">
        <v>7267</v>
      </c>
      <c r="P2846" s="132" t="s">
        <v>7253</v>
      </c>
      <c r="Q2846" s="132" t="s">
        <v>1108</v>
      </c>
    </row>
    <row r="2847" spans="1:17" x14ac:dyDescent="0.2">
      <c r="A2847" s="664" t="s">
        <v>164</v>
      </c>
      <c r="B2847" s="141">
        <f t="shared" si="45"/>
        <v>8.5299999999999994</v>
      </c>
      <c r="C2847" s="280">
        <v>45934</v>
      </c>
      <c r="D2847" s="279">
        <v>45937</v>
      </c>
      <c r="E2847" s="279">
        <v>45937</v>
      </c>
      <c r="F2847" s="132"/>
      <c r="G2847" s="132" t="s">
        <v>1108</v>
      </c>
      <c r="H2847" s="132" t="s">
        <v>373</v>
      </c>
      <c r="I2847" s="132" t="s">
        <v>1100</v>
      </c>
      <c r="J2847" s="132" t="s">
        <v>2052</v>
      </c>
      <c r="K2847" s="132" t="s">
        <v>2170</v>
      </c>
      <c r="L2847" s="132" t="s">
        <v>2171</v>
      </c>
      <c r="M2847" s="132" t="s">
        <v>7268</v>
      </c>
      <c r="N2847" s="132" t="s">
        <v>1117</v>
      </c>
      <c r="O2847" s="132" t="s">
        <v>7269</v>
      </c>
      <c r="P2847" s="132" t="s">
        <v>7253</v>
      </c>
      <c r="Q2847" s="132" t="s">
        <v>1108</v>
      </c>
    </row>
    <row r="2848" spans="1:17" x14ac:dyDescent="0.2">
      <c r="A2848" s="664" t="s">
        <v>164</v>
      </c>
      <c r="B2848" s="141">
        <f t="shared" si="45"/>
        <v>8.5299999999999994</v>
      </c>
      <c r="C2848" s="280">
        <v>45934</v>
      </c>
      <c r="D2848" s="279">
        <v>45937</v>
      </c>
      <c r="E2848" s="279">
        <v>45937</v>
      </c>
      <c r="F2848" s="132"/>
      <c r="G2848" s="132" t="s">
        <v>1108</v>
      </c>
      <c r="H2848" s="132" t="s">
        <v>373</v>
      </c>
      <c r="I2848" s="132" t="s">
        <v>1100</v>
      </c>
      <c r="J2848" s="132" t="s">
        <v>2052</v>
      </c>
      <c r="K2848" s="132" t="s">
        <v>2170</v>
      </c>
      <c r="L2848" s="132" t="s">
        <v>2171</v>
      </c>
      <c r="M2848" s="132" t="s">
        <v>7270</v>
      </c>
      <c r="N2848" s="132" t="s">
        <v>1117</v>
      </c>
      <c r="O2848" s="132" t="s">
        <v>7271</v>
      </c>
      <c r="P2848" s="132" t="s">
        <v>7253</v>
      </c>
      <c r="Q2848" s="132" t="s">
        <v>1108</v>
      </c>
    </row>
    <row r="2849" spans="1:17" x14ac:dyDescent="0.2">
      <c r="A2849" t="s">
        <v>163</v>
      </c>
      <c r="B2849" s="141">
        <f t="shared" si="45"/>
        <v>6.57</v>
      </c>
      <c r="C2849" s="280">
        <v>45934</v>
      </c>
      <c r="D2849" s="279">
        <v>45937</v>
      </c>
      <c r="E2849" s="279">
        <v>45937</v>
      </c>
      <c r="F2849" s="132"/>
      <c r="G2849" s="132" t="s">
        <v>1108</v>
      </c>
      <c r="H2849" s="132" t="s">
        <v>373</v>
      </c>
      <c r="I2849" s="132" t="s">
        <v>1100</v>
      </c>
      <c r="J2849" s="132" t="s">
        <v>2750</v>
      </c>
      <c r="K2849" s="132" t="s">
        <v>7051</v>
      </c>
      <c r="L2849" s="132" t="s">
        <v>2265</v>
      </c>
      <c r="M2849" s="132" t="s">
        <v>7272</v>
      </c>
      <c r="N2849" s="132" t="s">
        <v>1117</v>
      </c>
      <c r="O2849" s="132" t="s">
        <v>7273</v>
      </c>
      <c r="P2849" s="132" t="s">
        <v>7253</v>
      </c>
      <c r="Q2849" s="132" t="s">
        <v>1108</v>
      </c>
    </row>
    <row r="2850" spans="1:17" x14ac:dyDescent="0.2">
      <c r="A2850" s="664" t="s">
        <v>164</v>
      </c>
      <c r="B2850" s="141">
        <f t="shared" si="45"/>
        <v>8.5299999999999994</v>
      </c>
      <c r="C2850" s="280">
        <v>45934</v>
      </c>
      <c r="D2850" s="279">
        <v>45937</v>
      </c>
      <c r="E2850" s="279">
        <v>45937</v>
      </c>
      <c r="F2850" s="132"/>
      <c r="G2850" s="132" t="s">
        <v>1108</v>
      </c>
      <c r="H2850" s="132" t="s">
        <v>373</v>
      </c>
      <c r="I2850" s="132" t="s">
        <v>1100</v>
      </c>
      <c r="J2850" s="132" t="s">
        <v>2052</v>
      </c>
      <c r="K2850" s="132" t="s">
        <v>2170</v>
      </c>
      <c r="L2850" s="132" t="s">
        <v>2171</v>
      </c>
      <c r="M2850" s="132" t="s">
        <v>7274</v>
      </c>
      <c r="N2850" s="132" t="s">
        <v>1117</v>
      </c>
      <c r="O2850" s="132" t="s">
        <v>7275</v>
      </c>
      <c r="P2850" s="132" t="s">
        <v>7253</v>
      </c>
      <c r="Q2850" s="132" t="s">
        <v>1108</v>
      </c>
    </row>
    <row r="2851" spans="1:17" x14ac:dyDescent="0.2">
      <c r="A2851" s="664" t="s">
        <v>164</v>
      </c>
      <c r="B2851" s="141">
        <f t="shared" si="45"/>
        <v>8.5299999999999994</v>
      </c>
      <c r="C2851" s="280">
        <v>45934</v>
      </c>
      <c r="D2851" s="279">
        <v>45937</v>
      </c>
      <c r="E2851" s="279">
        <v>45937</v>
      </c>
      <c r="F2851" s="132"/>
      <c r="G2851" s="132" t="s">
        <v>1108</v>
      </c>
      <c r="H2851" s="132" t="s">
        <v>373</v>
      </c>
      <c r="I2851" s="132" t="s">
        <v>1100</v>
      </c>
      <c r="J2851" s="132" t="s">
        <v>2052</v>
      </c>
      <c r="K2851" s="132" t="s">
        <v>2170</v>
      </c>
      <c r="L2851" s="132" t="s">
        <v>2171</v>
      </c>
      <c r="M2851" s="132" t="s">
        <v>7276</v>
      </c>
      <c r="N2851" s="132" t="s">
        <v>1117</v>
      </c>
      <c r="O2851" s="132" t="s">
        <v>7277</v>
      </c>
      <c r="P2851" s="132" t="s">
        <v>7253</v>
      </c>
      <c r="Q2851" s="132" t="s">
        <v>1108</v>
      </c>
    </row>
    <row r="2852" spans="1:17" x14ac:dyDescent="0.2">
      <c r="A2852" t="s">
        <v>163</v>
      </c>
      <c r="B2852" s="141">
        <f t="shared" si="45"/>
        <v>6.5200000000000005</v>
      </c>
      <c r="C2852" s="280">
        <v>45934</v>
      </c>
      <c r="D2852" s="279">
        <v>45937</v>
      </c>
      <c r="E2852" s="279">
        <v>45937</v>
      </c>
      <c r="F2852" s="132"/>
      <c r="G2852" s="132" t="s">
        <v>1108</v>
      </c>
      <c r="H2852" s="132" t="s">
        <v>373</v>
      </c>
      <c r="I2852" s="132" t="s">
        <v>1100</v>
      </c>
      <c r="J2852" s="132" t="s">
        <v>2750</v>
      </c>
      <c r="K2852" s="132" t="s">
        <v>2751</v>
      </c>
      <c r="L2852" s="132" t="s">
        <v>2067</v>
      </c>
      <c r="M2852" s="132" t="s">
        <v>7278</v>
      </c>
      <c r="N2852" s="132" t="s">
        <v>1112</v>
      </c>
      <c r="O2852" s="132" t="s">
        <v>7279</v>
      </c>
      <c r="P2852" s="132" t="s">
        <v>7253</v>
      </c>
      <c r="Q2852" s="132" t="s">
        <v>1108</v>
      </c>
    </row>
    <row r="2853" spans="1:17" x14ac:dyDescent="0.2">
      <c r="A2853" s="664" t="s">
        <v>164</v>
      </c>
      <c r="B2853" s="141">
        <f t="shared" si="45"/>
        <v>8.5299999999999994</v>
      </c>
      <c r="C2853" s="280">
        <v>45934</v>
      </c>
      <c r="D2853" s="279">
        <v>45937</v>
      </c>
      <c r="E2853" s="279">
        <v>45937</v>
      </c>
      <c r="F2853" s="132"/>
      <c r="G2853" s="132" t="s">
        <v>1108</v>
      </c>
      <c r="H2853" s="132" t="s">
        <v>373</v>
      </c>
      <c r="I2853" s="132" t="s">
        <v>1100</v>
      </c>
      <c r="J2853" s="132" t="s">
        <v>2052</v>
      </c>
      <c r="K2853" s="132" t="s">
        <v>2170</v>
      </c>
      <c r="L2853" s="132" t="s">
        <v>2171</v>
      </c>
      <c r="M2853" s="132" t="s">
        <v>7280</v>
      </c>
      <c r="N2853" s="132" t="s">
        <v>4957</v>
      </c>
      <c r="O2853" s="132" t="s">
        <v>7281</v>
      </c>
      <c r="P2853" s="132" t="s">
        <v>7253</v>
      </c>
      <c r="Q2853" s="132" t="s">
        <v>1108</v>
      </c>
    </row>
    <row r="2854" spans="1:17" x14ac:dyDescent="0.2">
      <c r="A2854" t="s">
        <v>163</v>
      </c>
      <c r="B2854" s="141">
        <f t="shared" si="45"/>
        <v>6.57</v>
      </c>
      <c r="C2854" s="280">
        <v>45934</v>
      </c>
      <c r="D2854" s="279">
        <v>45937</v>
      </c>
      <c r="E2854" s="279">
        <v>45937</v>
      </c>
      <c r="F2854" s="132"/>
      <c r="G2854" s="132" t="s">
        <v>1108</v>
      </c>
      <c r="H2854" s="132" t="s">
        <v>373</v>
      </c>
      <c r="I2854" s="132" t="s">
        <v>1100</v>
      </c>
      <c r="J2854" s="132" t="s">
        <v>2750</v>
      </c>
      <c r="K2854" s="132" t="s">
        <v>7051</v>
      </c>
      <c r="L2854" s="132" t="s">
        <v>2265</v>
      </c>
      <c r="M2854" s="132" t="s">
        <v>7282</v>
      </c>
      <c r="N2854" s="132" t="s">
        <v>1117</v>
      </c>
      <c r="O2854" s="132" t="s">
        <v>7283</v>
      </c>
      <c r="P2854" s="132" t="s">
        <v>7253</v>
      </c>
      <c r="Q2854" s="132" t="s">
        <v>1108</v>
      </c>
    </row>
    <row r="2855" spans="1:17" x14ac:dyDescent="0.2">
      <c r="A2855" t="s">
        <v>163</v>
      </c>
      <c r="B2855" s="141">
        <f t="shared" si="45"/>
        <v>6.5200000000000005</v>
      </c>
      <c r="C2855" s="280">
        <v>45934</v>
      </c>
      <c r="D2855" s="279">
        <v>45937</v>
      </c>
      <c r="E2855" s="279">
        <v>45937</v>
      </c>
      <c r="F2855" s="132"/>
      <c r="G2855" s="132" t="s">
        <v>1108</v>
      </c>
      <c r="H2855" s="132" t="s">
        <v>373</v>
      </c>
      <c r="I2855" s="132" t="s">
        <v>1100</v>
      </c>
      <c r="J2855" s="132" t="s">
        <v>2750</v>
      </c>
      <c r="K2855" s="132" t="s">
        <v>2751</v>
      </c>
      <c r="L2855" s="132" t="s">
        <v>2067</v>
      </c>
      <c r="M2855" s="132" t="s">
        <v>7284</v>
      </c>
      <c r="N2855" s="132" t="s">
        <v>1112</v>
      </c>
      <c r="O2855" s="132" t="s">
        <v>7285</v>
      </c>
      <c r="P2855" s="132" t="s">
        <v>7253</v>
      </c>
      <c r="Q2855" s="132" t="s">
        <v>1108</v>
      </c>
    </row>
    <row r="2856" spans="1:17" x14ac:dyDescent="0.2">
      <c r="A2856" t="s">
        <v>163</v>
      </c>
      <c r="B2856" s="141">
        <f t="shared" si="45"/>
        <v>6.5200000000000005</v>
      </c>
      <c r="C2856" s="280">
        <v>45934</v>
      </c>
      <c r="D2856" s="279">
        <v>45937</v>
      </c>
      <c r="E2856" s="279">
        <v>45937</v>
      </c>
      <c r="F2856" s="132"/>
      <c r="G2856" s="132" t="s">
        <v>1108</v>
      </c>
      <c r="H2856" s="132" t="s">
        <v>373</v>
      </c>
      <c r="I2856" s="132" t="s">
        <v>1100</v>
      </c>
      <c r="J2856" s="132" t="s">
        <v>2750</v>
      </c>
      <c r="K2856" s="132" t="s">
        <v>2751</v>
      </c>
      <c r="L2856" s="132" t="s">
        <v>2067</v>
      </c>
      <c r="M2856" s="132" t="s">
        <v>7286</v>
      </c>
      <c r="N2856" s="132" t="s">
        <v>1112</v>
      </c>
      <c r="O2856" s="132" t="s">
        <v>7287</v>
      </c>
      <c r="P2856" s="132" t="s">
        <v>7253</v>
      </c>
      <c r="Q2856" s="132" t="s">
        <v>1108</v>
      </c>
    </row>
    <row r="2857" spans="1:17" x14ac:dyDescent="0.2">
      <c r="A2857" s="664" t="s">
        <v>164</v>
      </c>
      <c r="B2857" s="141">
        <f t="shared" si="45"/>
        <v>8.5299999999999994</v>
      </c>
      <c r="C2857" s="280">
        <v>45934</v>
      </c>
      <c r="D2857" s="279">
        <v>45937</v>
      </c>
      <c r="E2857" s="279">
        <v>45937</v>
      </c>
      <c r="F2857" s="132"/>
      <c r="G2857" s="132" t="s">
        <v>1108</v>
      </c>
      <c r="H2857" s="132" t="s">
        <v>373</v>
      </c>
      <c r="I2857" s="132" t="s">
        <v>1100</v>
      </c>
      <c r="J2857" s="132" t="s">
        <v>2052</v>
      </c>
      <c r="K2857" s="132" t="s">
        <v>2170</v>
      </c>
      <c r="L2857" s="132" t="s">
        <v>2171</v>
      </c>
      <c r="M2857" s="132" t="s">
        <v>7288</v>
      </c>
      <c r="N2857" s="132" t="s">
        <v>1117</v>
      </c>
      <c r="O2857" s="132" t="s">
        <v>7289</v>
      </c>
      <c r="P2857" s="132" t="s">
        <v>7253</v>
      </c>
      <c r="Q2857" s="132" t="s">
        <v>1108</v>
      </c>
    </row>
    <row r="2858" spans="1:17" x14ac:dyDescent="0.2">
      <c r="A2858" s="664" t="s">
        <v>164</v>
      </c>
      <c r="B2858" s="141">
        <f t="shared" si="45"/>
        <v>15.4</v>
      </c>
      <c r="C2858" s="280">
        <v>45935</v>
      </c>
      <c r="D2858" s="279">
        <v>45937</v>
      </c>
      <c r="E2858" s="279">
        <v>45937</v>
      </c>
      <c r="F2858" s="132"/>
      <c r="G2858" s="132" t="s">
        <v>1108</v>
      </c>
      <c r="H2858" s="132" t="s">
        <v>373</v>
      </c>
      <c r="I2858" s="132" t="s">
        <v>1100</v>
      </c>
      <c r="J2858" s="132" t="s">
        <v>7290</v>
      </c>
      <c r="K2858" s="132" t="s">
        <v>7291</v>
      </c>
      <c r="L2858" s="132" t="s">
        <v>7292</v>
      </c>
      <c r="M2858" s="132" t="s">
        <v>7293</v>
      </c>
      <c r="N2858" s="132" t="s">
        <v>1117</v>
      </c>
      <c r="O2858" s="132" t="s">
        <v>7294</v>
      </c>
      <c r="P2858" s="132" t="s">
        <v>7253</v>
      </c>
      <c r="Q2858" s="132" t="s">
        <v>1108</v>
      </c>
    </row>
    <row r="2859" spans="1:17" x14ac:dyDescent="0.2">
      <c r="A2859" t="s">
        <v>163</v>
      </c>
      <c r="B2859" s="141">
        <f t="shared" si="45"/>
        <v>6.5200000000000005</v>
      </c>
      <c r="C2859" s="280">
        <v>45935</v>
      </c>
      <c r="D2859" s="279">
        <v>45937</v>
      </c>
      <c r="E2859" s="279">
        <v>45937</v>
      </c>
      <c r="F2859" s="132"/>
      <c r="G2859" s="132" t="s">
        <v>1108</v>
      </c>
      <c r="H2859" s="132" t="s">
        <v>373</v>
      </c>
      <c r="I2859" s="132" t="s">
        <v>1100</v>
      </c>
      <c r="J2859" s="132" t="s">
        <v>2750</v>
      </c>
      <c r="K2859" s="132" t="s">
        <v>2751</v>
      </c>
      <c r="L2859" s="132" t="s">
        <v>2067</v>
      </c>
      <c r="M2859" s="132" t="s">
        <v>7295</v>
      </c>
      <c r="N2859" s="132" t="s">
        <v>1112</v>
      </c>
      <c r="O2859" s="132" t="s">
        <v>7296</v>
      </c>
      <c r="P2859" s="132" t="s">
        <v>7253</v>
      </c>
      <c r="Q2859" s="132" t="s">
        <v>1108</v>
      </c>
    </row>
    <row r="2860" spans="1:17" x14ac:dyDescent="0.2">
      <c r="A2860" t="s">
        <v>163</v>
      </c>
      <c r="B2860" s="141">
        <f t="shared" si="45"/>
        <v>6.57</v>
      </c>
      <c r="C2860" s="280">
        <v>45935</v>
      </c>
      <c r="D2860" s="279">
        <v>45937</v>
      </c>
      <c r="E2860" s="279">
        <v>45937</v>
      </c>
      <c r="F2860" s="132"/>
      <c r="G2860" s="132" t="s">
        <v>1108</v>
      </c>
      <c r="H2860" s="132" t="s">
        <v>373</v>
      </c>
      <c r="I2860" s="132" t="s">
        <v>1100</v>
      </c>
      <c r="J2860" s="132" t="s">
        <v>2750</v>
      </c>
      <c r="K2860" s="132" t="s">
        <v>7051</v>
      </c>
      <c r="L2860" s="132" t="s">
        <v>2265</v>
      </c>
      <c r="M2860" s="132" t="s">
        <v>7297</v>
      </c>
      <c r="N2860" s="132" t="s">
        <v>1117</v>
      </c>
      <c r="O2860" s="132" t="s">
        <v>7298</v>
      </c>
      <c r="P2860" s="132" t="s">
        <v>7253</v>
      </c>
      <c r="Q2860" s="132" t="s">
        <v>1108</v>
      </c>
    </row>
    <row r="2861" spans="1:17" x14ac:dyDescent="0.2">
      <c r="A2861" t="s">
        <v>163</v>
      </c>
      <c r="B2861" s="141">
        <f t="shared" si="45"/>
        <v>6.5200000000000005</v>
      </c>
      <c r="C2861" s="280">
        <v>45935</v>
      </c>
      <c r="D2861" s="279">
        <v>45937</v>
      </c>
      <c r="E2861" s="279">
        <v>45937</v>
      </c>
      <c r="F2861" s="132"/>
      <c r="G2861" s="132" t="s">
        <v>1108</v>
      </c>
      <c r="H2861" s="132" t="s">
        <v>373</v>
      </c>
      <c r="I2861" s="132" t="s">
        <v>1100</v>
      </c>
      <c r="J2861" s="132" t="s">
        <v>2750</v>
      </c>
      <c r="K2861" s="132" t="s">
        <v>2751</v>
      </c>
      <c r="L2861" s="132" t="s">
        <v>2067</v>
      </c>
      <c r="M2861" s="132" t="s">
        <v>7299</v>
      </c>
      <c r="N2861" s="132" t="s">
        <v>1112</v>
      </c>
      <c r="O2861" s="132" t="s">
        <v>7300</v>
      </c>
      <c r="P2861" s="132" t="s">
        <v>7253</v>
      </c>
      <c r="Q2861" s="132" t="s">
        <v>1108</v>
      </c>
    </row>
    <row r="2862" spans="1:17" x14ac:dyDescent="0.2">
      <c r="A2862" t="s">
        <v>163</v>
      </c>
      <c r="B2862" s="141">
        <f t="shared" ref="B2862:B2925" si="46">_xlfn.NUMBERVALUE(L2862)*0.01</f>
        <v>6.57</v>
      </c>
      <c r="C2862" s="280">
        <v>45935</v>
      </c>
      <c r="D2862" s="279">
        <v>45937</v>
      </c>
      <c r="E2862" s="279">
        <v>45937</v>
      </c>
      <c r="F2862" s="132"/>
      <c r="G2862" s="132" t="s">
        <v>6084</v>
      </c>
      <c r="H2862" s="132" t="s">
        <v>373</v>
      </c>
      <c r="I2862" s="132" t="s">
        <v>1100</v>
      </c>
      <c r="J2862" s="132" t="s">
        <v>2750</v>
      </c>
      <c r="K2862" s="132" t="s">
        <v>7051</v>
      </c>
      <c r="L2862" s="132" t="s">
        <v>2265</v>
      </c>
      <c r="M2862" s="132" t="s">
        <v>7301</v>
      </c>
      <c r="N2862" s="132" t="s">
        <v>1105</v>
      </c>
      <c r="O2862" s="132" t="s">
        <v>7302</v>
      </c>
      <c r="P2862" s="132" t="s">
        <v>7253</v>
      </c>
      <c r="Q2862" s="132" t="s">
        <v>1108</v>
      </c>
    </row>
    <row r="2863" spans="1:17" x14ac:dyDescent="0.2">
      <c r="A2863" t="s">
        <v>163</v>
      </c>
      <c r="B2863" s="141">
        <f t="shared" si="46"/>
        <v>6.57</v>
      </c>
      <c r="C2863" s="280">
        <v>45935</v>
      </c>
      <c r="D2863" s="279">
        <v>45937</v>
      </c>
      <c r="E2863" s="279">
        <v>45937</v>
      </c>
      <c r="F2863" s="132"/>
      <c r="G2863" s="132" t="s">
        <v>5407</v>
      </c>
      <c r="H2863" s="132" t="s">
        <v>373</v>
      </c>
      <c r="I2863" s="132" t="s">
        <v>1100</v>
      </c>
      <c r="J2863" s="132" t="s">
        <v>2750</v>
      </c>
      <c r="K2863" s="132" t="s">
        <v>7051</v>
      </c>
      <c r="L2863" s="132" t="s">
        <v>2265</v>
      </c>
      <c r="M2863" s="132" t="s">
        <v>7303</v>
      </c>
      <c r="N2863" s="132" t="s">
        <v>1105</v>
      </c>
      <c r="O2863" s="132" t="s">
        <v>7304</v>
      </c>
      <c r="P2863" s="132" t="s">
        <v>7253</v>
      </c>
      <c r="Q2863" s="132" t="s">
        <v>1108</v>
      </c>
    </row>
    <row r="2864" spans="1:17" x14ac:dyDescent="0.2">
      <c r="A2864" s="664" t="s">
        <v>164</v>
      </c>
      <c r="B2864" s="141">
        <f t="shared" si="46"/>
        <v>8.5299999999999994</v>
      </c>
      <c r="C2864" s="280">
        <v>45935</v>
      </c>
      <c r="D2864" s="279">
        <v>45937</v>
      </c>
      <c r="E2864" s="279">
        <v>45937</v>
      </c>
      <c r="F2864" s="132"/>
      <c r="G2864" s="132" t="s">
        <v>1108</v>
      </c>
      <c r="H2864" s="132" t="s">
        <v>373</v>
      </c>
      <c r="I2864" s="132" t="s">
        <v>1100</v>
      </c>
      <c r="J2864" s="132" t="s">
        <v>2052</v>
      </c>
      <c r="K2864" s="132" t="s">
        <v>2170</v>
      </c>
      <c r="L2864" s="132" t="s">
        <v>2171</v>
      </c>
      <c r="M2864" s="132" t="s">
        <v>7305</v>
      </c>
      <c r="N2864" s="132" t="s">
        <v>1117</v>
      </c>
      <c r="O2864" s="132" t="s">
        <v>7306</v>
      </c>
      <c r="P2864" s="132" t="s">
        <v>7253</v>
      </c>
      <c r="Q2864" s="132" t="s">
        <v>1108</v>
      </c>
    </row>
    <row r="2865" spans="1:17" x14ac:dyDescent="0.2">
      <c r="A2865" t="s">
        <v>163</v>
      </c>
      <c r="B2865" s="141">
        <f t="shared" si="46"/>
        <v>6.57</v>
      </c>
      <c r="C2865" s="280">
        <v>45935</v>
      </c>
      <c r="D2865" s="279">
        <v>45937</v>
      </c>
      <c r="E2865" s="279">
        <v>45937</v>
      </c>
      <c r="F2865" s="132"/>
      <c r="G2865" s="132" t="s">
        <v>1108</v>
      </c>
      <c r="H2865" s="132" t="s">
        <v>373</v>
      </c>
      <c r="I2865" s="132" t="s">
        <v>1100</v>
      </c>
      <c r="J2865" s="132" t="s">
        <v>2750</v>
      </c>
      <c r="K2865" s="132" t="s">
        <v>7051</v>
      </c>
      <c r="L2865" s="132" t="s">
        <v>2265</v>
      </c>
      <c r="M2865" s="132" t="s">
        <v>7307</v>
      </c>
      <c r="N2865" s="132" t="s">
        <v>1117</v>
      </c>
      <c r="O2865" s="132" t="s">
        <v>7308</v>
      </c>
      <c r="P2865" s="132" t="s">
        <v>7253</v>
      </c>
      <c r="Q2865" s="132" t="s">
        <v>1108</v>
      </c>
    </row>
    <row r="2866" spans="1:17" x14ac:dyDescent="0.2">
      <c r="A2866" s="664" t="s">
        <v>164</v>
      </c>
      <c r="B2866" s="141">
        <f t="shared" si="46"/>
        <v>15.4</v>
      </c>
      <c r="C2866" s="280">
        <v>45935</v>
      </c>
      <c r="D2866" s="279">
        <v>45937</v>
      </c>
      <c r="E2866" s="279">
        <v>45937</v>
      </c>
      <c r="F2866" s="132"/>
      <c r="G2866" s="132" t="s">
        <v>1108</v>
      </c>
      <c r="H2866" s="132" t="s">
        <v>373</v>
      </c>
      <c r="I2866" s="132" t="s">
        <v>1100</v>
      </c>
      <c r="J2866" s="132" t="s">
        <v>7290</v>
      </c>
      <c r="K2866" s="132" t="s">
        <v>7291</v>
      </c>
      <c r="L2866" s="132" t="s">
        <v>7292</v>
      </c>
      <c r="M2866" s="132" t="s">
        <v>7309</v>
      </c>
      <c r="N2866" s="132" t="s">
        <v>1117</v>
      </c>
      <c r="O2866" s="132" t="s">
        <v>7310</v>
      </c>
      <c r="P2866" s="132" t="s">
        <v>7253</v>
      </c>
      <c r="Q2866" s="132" t="s">
        <v>1108</v>
      </c>
    </row>
    <row r="2867" spans="1:17" x14ac:dyDescent="0.2">
      <c r="A2867" t="s">
        <v>163</v>
      </c>
      <c r="B2867" s="141">
        <f t="shared" si="46"/>
        <v>6.57</v>
      </c>
      <c r="C2867" s="280">
        <v>45936</v>
      </c>
      <c r="D2867" s="279">
        <v>45937</v>
      </c>
      <c r="E2867" s="279">
        <v>45937</v>
      </c>
      <c r="F2867" s="132"/>
      <c r="G2867" s="132" t="s">
        <v>5329</v>
      </c>
      <c r="H2867" s="132" t="s">
        <v>373</v>
      </c>
      <c r="I2867" s="132" t="s">
        <v>1100</v>
      </c>
      <c r="J2867" s="132" t="s">
        <v>2750</v>
      </c>
      <c r="K2867" s="132" t="s">
        <v>7051</v>
      </c>
      <c r="L2867" s="132" t="s">
        <v>2265</v>
      </c>
      <c r="M2867" s="132" t="s">
        <v>7311</v>
      </c>
      <c r="N2867" s="132" t="s">
        <v>1105</v>
      </c>
      <c r="O2867" s="132" t="s">
        <v>7312</v>
      </c>
      <c r="P2867" s="132" t="s">
        <v>7253</v>
      </c>
      <c r="Q2867" s="132" t="s">
        <v>1108</v>
      </c>
    </row>
    <row r="2868" spans="1:17" x14ac:dyDescent="0.2">
      <c r="A2868" t="s">
        <v>163</v>
      </c>
      <c r="B2868" s="141">
        <f t="shared" si="46"/>
        <v>6.5200000000000005</v>
      </c>
      <c r="C2868" s="280">
        <v>45936</v>
      </c>
      <c r="D2868" s="279">
        <v>45938</v>
      </c>
      <c r="E2868" s="279">
        <v>45938</v>
      </c>
      <c r="F2868" s="132"/>
      <c r="G2868" s="132" t="s">
        <v>1108</v>
      </c>
      <c r="H2868" s="132" t="s">
        <v>373</v>
      </c>
      <c r="I2868" s="132" t="s">
        <v>1100</v>
      </c>
      <c r="J2868" s="132" t="s">
        <v>2750</v>
      </c>
      <c r="K2868" s="132" t="s">
        <v>2751</v>
      </c>
      <c r="L2868" s="132" t="s">
        <v>2067</v>
      </c>
      <c r="M2868" s="132" t="s">
        <v>7313</v>
      </c>
      <c r="N2868" s="132" t="s">
        <v>1112</v>
      </c>
      <c r="O2868" s="132" t="s">
        <v>7314</v>
      </c>
      <c r="P2868" s="132" t="s">
        <v>7315</v>
      </c>
      <c r="Q2868" s="132" t="s">
        <v>1108</v>
      </c>
    </row>
    <row r="2869" spans="1:17" x14ac:dyDescent="0.2">
      <c r="A2869" t="s">
        <v>163</v>
      </c>
      <c r="B2869" s="141">
        <f t="shared" si="46"/>
        <v>6.5200000000000005</v>
      </c>
      <c r="C2869" s="280">
        <v>45936</v>
      </c>
      <c r="D2869" s="279">
        <v>45938</v>
      </c>
      <c r="E2869" s="279">
        <v>45938</v>
      </c>
      <c r="F2869" s="132"/>
      <c r="G2869" s="132" t="s">
        <v>1108</v>
      </c>
      <c r="H2869" s="132" t="s">
        <v>373</v>
      </c>
      <c r="I2869" s="132" t="s">
        <v>1100</v>
      </c>
      <c r="J2869" s="132" t="s">
        <v>2750</v>
      </c>
      <c r="K2869" s="132" t="s">
        <v>2751</v>
      </c>
      <c r="L2869" s="132" t="s">
        <v>2067</v>
      </c>
      <c r="M2869" s="132" t="s">
        <v>7316</v>
      </c>
      <c r="N2869" s="132" t="s">
        <v>1112</v>
      </c>
      <c r="O2869" s="132" t="s">
        <v>7317</v>
      </c>
      <c r="P2869" s="132" t="s">
        <v>7315</v>
      </c>
      <c r="Q2869" s="132" t="s">
        <v>1108</v>
      </c>
    </row>
    <row r="2870" spans="1:17" x14ac:dyDescent="0.2">
      <c r="A2870" s="664" t="s">
        <v>164</v>
      </c>
      <c r="B2870" s="141">
        <f t="shared" si="46"/>
        <v>8.5299999999999994</v>
      </c>
      <c r="C2870" s="280">
        <v>45936</v>
      </c>
      <c r="D2870" s="279">
        <v>45938</v>
      </c>
      <c r="E2870" s="279">
        <v>45938</v>
      </c>
      <c r="F2870" s="132"/>
      <c r="G2870" s="132" t="s">
        <v>1108</v>
      </c>
      <c r="H2870" s="132" t="s">
        <v>373</v>
      </c>
      <c r="I2870" s="132" t="s">
        <v>1100</v>
      </c>
      <c r="J2870" s="132" t="s">
        <v>2052</v>
      </c>
      <c r="K2870" s="132" t="s">
        <v>2170</v>
      </c>
      <c r="L2870" s="132" t="s">
        <v>2171</v>
      </c>
      <c r="M2870" s="132" t="s">
        <v>7318</v>
      </c>
      <c r="N2870" s="132" t="s">
        <v>1117</v>
      </c>
      <c r="O2870" s="132" t="s">
        <v>7319</v>
      </c>
      <c r="P2870" s="132" t="s">
        <v>7315</v>
      </c>
      <c r="Q2870" s="132" t="s">
        <v>1108</v>
      </c>
    </row>
    <row r="2871" spans="1:17" x14ac:dyDescent="0.2">
      <c r="A2871" s="664" t="s">
        <v>164</v>
      </c>
      <c r="B2871" s="141">
        <f t="shared" si="46"/>
        <v>8.5299999999999994</v>
      </c>
      <c r="C2871" s="280">
        <v>45936</v>
      </c>
      <c r="D2871" s="279">
        <v>45938</v>
      </c>
      <c r="E2871" s="279">
        <v>45938</v>
      </c>
      <c r="F2871" s="132"/>
      <c r="G2871" s="132" t="s">
        <v>1108</v>
      </c>
      <c r="H2871" s="132" t="s">
        <v>373</v>
      </c>
      <c r="I2871" s="132" t="s">
        <v>1100</v>
      </c>
      <c r="J2871" s="132" t="s">
        <v>2052</v>
      </c>
      <c r="K2871" s="132" t="s">
        <v>2170</v>
      </c>
      <c r="L2871" s="132" t="s">
        <v>2171</v>
      </c>
      <c r="M2871" s="132" t="s">
        <v>7320</v>
      </c>
      <c r="N2871" s="132" t="s">
        <v>1117</v>
      </c>
      <c r="O2871" s="132" t="s">
        <v>7321</v>
      </c>
      <c r="P2871" s="132" t="s">
        <v>7315</v>
      </c>
      <c r="Q2871" s="132" t="s">
        <v>1108</v>
      </c>
    </row>
    <row r="2872" spans="1:17" x14ac:dyDescent="0.2">
      <c r="A2872" t="s">
        <v>163</v>
      </c>
      <c r="B2872" s="141">
        <f t="shared" si="46"/>
        <v>6.57</v>
      </c>
      <c r="C2872" s="280">
        <v>45936</v>
      </c>
      <c r="D2872" s="279">
        <v>45938</v>
      </c>
      <c r="E2872" s="279">
        <v>45938</v>
      </c>
      <c r="F2872" s="132"/>
      <c r="G2872" s="132" t="s">
        <v>1108</v>
      </c>
      <c r="H2872" s="132" t="s">
        <v>373</v>
      </c>
      <c r="I2872" s="132" t="s">
        <v>1100</v>
      </c>
      <c r="J2872" s="132" t="s">
        <v>2750</v>
      </c>
      <c r="K2872" s="132" t="s">
        <v>7051</v>
      </c>
      <c r="L2872" s="132" t="s">
        <v>2265</v>
      </c>
      <c r="M2872" s="132" t="s">
        <v>7322</v>
      </c>
      <c r="N2872" s="132" t="s">
        <v>4957</v>
      </c>
      <c r="O2872" s="132" t="s">
        <v>7323</v>
      </c>
      <c r="P2872" s="132" t="s">
        <v>7315</v>
      </c>
      <c r="Q2872" s="132" t="s">
        <v>1108</v>
      </c>
    </row>
    <row r="2873" spans="1:17" x14ac:dyDescent="0.2">
      <c r="A2873" t="s">
        <v>163</v>
      </c>
      <c r="B2873" s="141">
        <f t="shared" si="46"/>
        <v>6.57</v>
      </c>
      <c r="C2873" s="280">
        <v>45936</v>
      </c>
      <c r="D2873" s="279">
        <v>45938</v>
      </c>
      <c r="E2873" s="279">
        <v>45938</v>
      </c>
      <c r="F2873" s="132"/>
      <c r="G2873" s="132" t="s">
        <v>1108</v>
      </c>
      <c r="H2873" s="132" t="s">
        <v>373</v>
      </c>
      <c r="I2873" s="132" t="s">
        <v>1100</v>
      </c>
      <c r="J2873" s="132" t="s">
        <v>2750</v>
      </c>
      <c r="K2873" s="132" t="s">
        <v>7051</v>
      </c>
      <c r="L2873" s="132" t="s">
        <v>2265</v>
      </c>
      <c r="M2873" s="132" t="s">
        <v>7324</v>
      </c>
      <c r="N2873" s="132" t="s">
        <v>1117</v>
      </c>
      <c r="O2873" s="132" t="s">
        <v>7325</v>
      </c>
      <c r="P2873" s="132" t="s">
        <v>7315</v>
      </c>
      <c r="Q2873" s="132" t="s">
        <v>1108</v>
      </c>
    </row>
    <row r="2874" spans="1:17" x14ac:dyDescent="0.2">
      <c r="A2874" t="s">
        <v>163</v>
      </c>
      <c r="B2874" s="141">
        <f t="shared" si="46"/>
        <v>6.57</v>
      </c>
      <c r="C2874" s="280">
        <v>45936</v>
      </c>
      <c r="D2874" s="279">
        <v>45938</v>
      </c>
      <c r="E2874" s="279">
        <v>45938</v>
      </c>
      <c r="F2874" s="132"/>
      <c r="G2874" s="132" t="s">
        <v>1108</v>
      </c>
      <c r="H2874" s="132" t="s">
        <v>373</v>
      </c>
      <c r="I2874" s="132" t="s">
        <v>1100</v>
      </c>
      <c r="J2874" s="132" t="s">
        <v>2750</v>
      </c>
      <c r="K2874" s="132" t="s">
        <v>7051</v>
      </c>
      <c r="L2874" s="132" t="s">
        <v>2265</v>
      </c>
      <c r="M2874" s="132" t="s">
        <v>7326</v>
      </c>
      <c r="N2874" s="132" t="s">
        <v>1117</v>
      </c>
      <c r="O2874" s="132" t="s">
        <v>7327</v>
      </c>
      <c r="P2874" s="132" t="s">
        <v>7315</v>
      </c>
      <c r="Q2874" s="132" t="s">
        <v>1108</v>
      </c>
    </row>
    <row r="2875" spans="1:17" x14ac:dyDescent="0.2">
      <c r="A2875" t="s">
        <v>163</v>
      </c>
      <c r="B2875" s="141">
        <f t="shared" si="46"/>
        <v>6.5200000000000005</v>
      </c>
      <c r="C2875" s="280">
        <v>45936</v>
      </c>
      <c r="D2875" s="279">
        <v>45938</v>
      </c>
      <c r="E2875" s="279">
        <v>45938</v>
      </c>
      <c r="F2875" s="132"/>
      <c r="G2875" s="132" t="s">
        <v>1108</v>
      </c>
      <c r="H2875" s="132" t="s">
        <v>373</v>
      </c>
      <c r="I2875" s="132" t="s">
        <v>1100</v>
      </c>
      <c r="J2875" s="132" t="s">
        <v>2750</v>
      </c>
      <c r="K2875" s="132" t="s">
        <v>2751</v>
      </c>
      <c r="L2875" s="132" t="s">
        <v>2067</v>
      </c>
      <c r="M2875" s="132" t="s">
        <v>7328</v>
      </c>
      <c r="N2875" s="132" t="s">
        <v>1112</v>
      </c>
      <c r="O2875" s="132" t="s">
        <v>7329</v>
      </c>
      <c r="P2875" s="132" t="s">
        <v>7315</v>
      </c>
      <c r="Q2875" s="132" t="s">
        <v>1108</v>
      </c>
    </row>
    <row r="2876" spans="1:17" x14ac:dyDescent="0.2">
      <c r="A2876" t="s">
        <v>163</v>
      </c>
      <c r="B2876" s="141">
        <f t="shared" si="46"/>
        <v>6.57</v>
      </c>
      <c r="C2876" s="280">
        <v>45936</v>
      </c>
      <c r="D2876" s="279">
        <v>45938</v>
      </c>
      <c r="E2876" s="279">
        <v>45938</v>
      </c>
      <c r="F2876" s="132"/>
      <c r="G2876" s="132" t="s">
        <v>4881</v>
      </c>
      <c r="H2876" s="132" t="s">
        <v>373</v>
      </c>
      <c r="I2876" s="132" t="s">
        <v>1100</v>
      </c>
      <c r="J2876" s="132" t="s">
        <v>2750</v>
      </c>
      <c r="K2876" s="132" t="s">
        <v>7051</v>
      </c>
      <c r="L2876" s="132" t="s">
        <v>2265</v>
      </c>
      <c r="M2876" s="132" t="s">
        <v>7330</v>
      </c>
      <c r="N2876" s="132" t="s">
        <v>1105</v>
      </c>
      <c r="O2876" s="132" t="s">
        <v>7331</v>
      </c>
      <c r="P2876" s="132" t="s">
        <v>7315</v>
      </c>
      <c r="Q2876" s="132" t="s">
        <v>1108</v>
      </c>
    </row>
    <row r="2877" spans="1:17" x14ac:dyDescent="0.2">
      <c r="A2877" s="664" t="s">
        <v>164</v>
      </c>
      <c r="B2877" s="141">
        <f t="shared" si="46"/>
        <v>8.4700000000000006</v>
      </c>
      <c r="C2877" s="280">
        <v>45936</v>
      </c>
      <c r="D2877" s="279">
        <v>45938</v>
      </c>
      <c r="E2877" s="279">
        <v>45938</v>
      </c>
      <c r="F2877" s="132"/>
      <c r="G2877" s="132" t="s">
        <v>1108</v>
      </c>
      <c r="H2877" s="132" t="s">
        <v>373</v>
      </c>
      <c r="I2877" s="132" t="s">
        <v>1100</v>
      </c>
      <c r="J2877" s="132" t="s">
        <v>2052</v>
      </c>
      <c r="K2877" s="132" t="s">
        <v>2053</v>
      </c>
      <c r="L2877" s="132" t="s">
        <v>2054</v>
      </c>
      <c r="M2877" s="132" t="s">
        <v>7332</v>
      </c>
      <c r="N2877" s="132" t="s">
        <v>1112</v>
      </c>
      <c r="O2877" s="132" t="s">
        <v>7333</v>
      </c>
      <c r="P2877" s="132" t="s">
        <v>7315</v>
      </c>
      <c r="Q2877" s="132" t="s">
        <v>1108</v>
      </c>
    </row>
    <row r="2878" spans="1:17" x14ac:dyDescent="0.2">
      <c r="A2878" s="664" t="s">
        <v>164</v>
      </c>
      <c r="B2878" s="141">
        <f t="shared" si="46"/>
        <v>8.5299999999999994</v>
      </c>
      <c r="C2878" s="280">
        <v>45936</v>
      </c>
      <c r="D2878" s="279">
        <v>45938</v>
      </c>
      <c r="E2878" s="279">
        <v>45938</v>
      </c>
      <c r="F2878" s="132"/>
      <c r="G2878" s="132" t="s">
        <v>1108</v>
      </c>
      <c r="H2878" s="132" t="s">
        <v>373</v>
      </c>
      <c r="I2878" s="132" t="s">
        <v>1100</v>
      </c>
      <c r="J2878" s="132" t="s">
        <v>2052</v>
      </c>
      <c r="K2878" s="132" t="s">
        <v>2170</v>
      </c>
      <c r="L2878" s="132" t="s">
        <v>2171</v>
      </c>
      <c r="M2878" s="132" t="s">
        <v>7334</v>
      </c>
      <c r="N2878" s="132" t="s">
        <v>1117</v>
      </c>
      <c r="O2878" s="132" t="s">
        <v>7335</v>
      </c>
      <c r="P2878" s="132" t="s">
        <v>7315</v>
      </c>
      <c r="Q2878" s="132" t="s">
        <v>1108</v>
      </c>
    </row>
    <row r="2879" spans="1:17" x14ac:dyDescent="0.2">
      <c r="A2879" t="s">
        <v>163</v>
      </c>
      <c r="B2879" s="141">
        <f t="shared" si="46"/>
        <v>6.5200000000000005</v>
      </c>
      <c r="C2879" s="280">
        <v>45936</v>
      </c>
      <c r="D2879" s="279">
        <v>45938</v>
      </c>
      <c r="E2879" s="279">
        <v>45938</v>
      </c>
      <c r="F2879" s="132"/>
      <c r="G2879" s="132" t="s">
        <v>1108</v>
      </c>
      <c r="H2879" s="132" t="s">
        <v>373</v>
      </c>
      <c r="I2879" s="132" t="s">
        <v>1100</v>
      </c>
      <c r="J2879" s="132" t="s">
        <v>2750</v>
      </c>
      <c r="K2879" s="132" t="s">
        <v>2751</v>
      </c>
      <c r="L2879" s="132" t="s">
        <v>2067</v>
      </c>
      <c r="M2879" s="132" t="s">
        <v>7336</v>
      </c>
      <c r="N2879" s="132" t="s">
        <v>1112</v>
      </c>
      <c r="O2879" s="132" t="s">
        <v>7337</v>
      </c>
      <c r="P2879" s="132" t="s">
        <v>7315</v>
      </c>
      <c r="Q2879" s="132" t="s">
        <v>1108</v>
      </c>
    </row>
    <row r="2880" spans="1:17" x14ac:dyDescent="0.2">
      <c r="A2880" s="664" t="s">
        <v>164</v>
      </c>
      <c r="B2880" s="141">
        <f t="shared" si="46"/>
        <v>17.36</v>
      </c>
      <c r="C2880" s="280">
        <v>45937</v>
      </c>
      <c r="D2880" s="279">
        <v>45938</v>
      </c>
      <c r="E2880" s="279">
        <v>45938</v>
      </c>
      <c r="F2880" s="132"/>
      <c r="G2880" s="132" t="s">
        <v>1108</v>
      </c>
      <c r="H2880" s="132" t="s">
        <v>373</v>
      </c>
      <c r="I2880" s="132" t="s">
        <v>1100</v>
      </c>
      <c r="J2880" s="132" t="s">
        <v>2092</v>
      </c>
      <c r="K2880" s="132" t="s">
        <v>2368</v>
      </c>
      <c r="L2880" s="132" t="s">
        <v>2369</v>
      </c>
      <c r="M2880" s="132" t="s">
        <v>7338</v>
      </c>
      <c r="N2880" s="132" t="s">
        <v>4957</v>
      </c>
      <c r="O2880" s="132" t="s">
        <v>7339</v>
      </c>
      <c r="P2880" s="132" t="s">
        <v>7315</v>
      </c>
      <c r="Q2880" s="132" t="s">
        <v>1108</v>
      </c>
    </row>
    <row r="2881" spans="2:2" x14ac:dyDescent="0.2">
      <c r="B2881" s="141">
        <f t="shared" si="46"/>
        <v>0</v>
      </c>
    </row>
    <row r="2882" spans="2:2" x14ac:dyDescent="0.2">
      <c r="B2882" s="141">
        <f t="shared" si="46"/>
        <v>0</v>
      </c>
    </row>
    <row r="2883" spans="2:2" x14ac:dyDescent="0.2">
      <c r="B2883" s="141">
        <f t="shared" si="46"/>
        <v>0</v>
      </c>
    </row>
    <row r="2884" spans="2:2" x14ac:dyDescent="0.2">
      <c r="B2884" s="141">
        <f t="shared" si="46"/>
        <v>0</v>
      </c>
    </row>
    <row r="2885" spans="2:2" x14ac:dyDescent="0.2">
      <c r="B2885" s="141">
        <f t="shared" si="46"/>
        <v>0</v>
      </c>
    </row>
    <row r="2886" spans="2:2" x14ac:dyDescent="0.2">
      <c r="B2886" s="141">
        <f t="shared" si="46"/>
        <v>0</v>
      </c>
    </row>
    <row r="2887" spans="2:2" x14ac:dyDescent="0.2">
      <c r="B2887" s="141">
        <f t="shared" si="46"/>
        <v>0</v>
      </c>
    </row>
    <row r="2888" spans="2:2" x14ac:dyDescent="0.2">
      <c r="B2888" s="141">
        <f t="shared" si="46"/>
        <v>0</v>
      </c>
    </row>
    <row r="2889" spans="2:2" x14ac:dyDescent="0.2">
      <c r="B2889" s="141">
        <f t="shared" si="46"/>
        <v>0</v>
      </c>
    </row>
    <row r="2890" spans="2:2" x14ac:dyDescent="0.2">
      <c r="B2890" s="141">
        <f t="shared" si="46"/>
        <v>0</v>
      </c>
    </row>
    <row r="2891" spans="2:2" x14ac:dyDescent="0.2">
      <c r="B2891" s="141">
        <f t="shared" si="46"/>
        <v>0</v>
      </c>
    </row>
    <row r="2892" spans="2:2" x14ac:dyDescent="0.2">
      <c r="B2892" s="141">
        <f t="shared" si="46"/>
        <v>0</v>
      </c>
    </row>
    <row r="2893" spans="2:2" x14ac:dyDescent="0.2">
      <c r="B2893" s="141">
        <f t="shared" si="46"/>
        <v>0</v>
      </c>
    </row>
    <row r="2894" spans="2:2" x14ac:dyDescent="0.2">
      <c r="B2894" s="141">
        <f t="shared" si="46"/>
        <v>0</v>
      </c>
    </row>
    <row r="2895" spans="2:2" x14ac:dyDescent="0.2">
      <c r="B2895" s="141">
        <f t="shared" si="46"/>
        <v>0</v>
      </c>
    </row>
    <row r="2896" spans="2:2" x14ac:dyDescent="0.2">
      <c r="B2896" s="141">
        <f t="shared" si="46"/>
        <v>0</v>
      </c>
    </row>
    <row r="2897" spans="2:2" x14ac:dyDescent="0.2">
      <c r="B2897" s="141">
        <f t="shared" si="46"/>
        <v>0</v>
      </c>
    </row>
    <row r="2898" spans="2:2" x14ac:dyDescent="0.2">
      <c r="B2898" s="141">
        <f t="shared" si="46"/>
        <v>0</v>
      </c>
    </row>
    <row r="2899" spans="2:2" x14ac:dyDescent="0.2">
      <c r="B2899" s="141">
        <f t="shared" si="46"/>
        <v>0</v>
      </c>
    </row>
    <row r="2900" spans="2:2" x14ac:dyDescent="0.2">
      <c r="B2900" s="141">
        <f t="shared" si="46"/>
        <v>0</v>
      </c>
    </row>
    <row r="2901" spans="2:2" x14ac:dyDescent="0.2">
      <c r="B2901" s="141">
        <f t="shared" si="46"/>
        <v>0</v>
      </c>
    </row>
    <row r="2902" spans="2:2" x14ac:dyDescent="0.2">
      <c r="B2902" s="141">
        <f t="shared" si="46"/>
        <v>0</v>
      </c>
    </row>
    <row r="2903" spans="2:2" x14ac:dyDescent="0.2">
      <c r="B2903" s="141">
        <f t="shared" si="46"/>
        <v>0</v>
      </c>
    </row>
    <row r="2904" spans="2:2" x14ac:dyDescent="0.2">
      <c r="B2904" s="141">
        <f t="shared" si="46"/>
        <v>0</v>
      </c>
    </row>
    <row r="2905" spans="2:2" x14ac:dyDescent="0.2">
      <c r="B2905" s="141">
        <f t="shared" si="46"/>
        <v>0</v>
      </c>
    </row>
    <row r="2906" spans="2:2" x14ac:dyDescent="0.2">
      <c r="B2906" s="141">
        <f t="shared" si="46"/>
        <v>0</v>
      </c>
    </row>
    <row r="2907" spans="2:2" x14ac:dyDescent="0.2">
      <c r="B2907" s="141">
        <f t="shared" si="46"/>
        <v>0</v>
      </c>
    </row>
    <row r="2908" spans="2:2" x14ac:dyDescent="0.2">
      <c r="B2908" s="141">
        <f t="shared" si="46"/>
        <v>0</v>
      </c>
    </row>
    <row r="2909" spans="2:2" x14ac:dyDescent="0.2">
      <c r="B2909" s="141">
        <f t="shared" si="46"/>
        <v>0</v>
      </c>
    </row>
    <row r="2910" spans="2:2" x14ac:dyDescent="0.2">
      <c r="B2910" s="141">
        <f t="shared" si="46"/>
        <v>0</v>
      </c>
    </row>
    <row r="2911" spans="2:2" x14ac:dyDescent="0.2">
      <c r="B2911" s="141">
        <f t="shared" si="46"/>
        <v>0</v>
      </c>
    </row>
    <row r="2912" spans="2:2" x14ac:dyDescent="0.2">
      <c r="B2912" s="141">
        <f t="shared" si="46"/>
        <v>0</v>
      </c>
    </row>
    <row r="2913" spans="2:2" x14ac:dyDescent="0.2">
      <c r="B2913" s="141">
        <f t="shared" si="46"/>
        <v>0</v>
      </c>
    </row>
    <row r="2914" spans="2:2" x14ac:dyDescent="0.2">
      <c r="B2914" s="141">
        <f t="shared" si="46"/>
        <v>0</v>
      </c>
    </row>
    <row r="2915" spans="2:2" x14ac:dyDescent="0.2">
      <c r="B2915" s="141">
        <f t="shared" si="46"/>
        <v>0</v>
      </c>
    </row>
    <row r="2916" spans="2:2" x14ac:dyDescent="0.2">
      <c r="B2916" s="141">
        <f t="shared" si="46"/>
        <v>0</v>
      </c>
    </row>
    <row r="2917" spans="2:2" x14ac:dyDescent="0.2">
      <c r="B2917" s="141">
        <f t="shared" si="46"/>
        <v>0</v>
      </c>
    </row>
    <row r="2918" spans="2:2" x14ac:dyDescent="0.2">
      <c r="B2918" s="141">
        <f t="shared" si="46"/>
        <v>0</v>
      </c>
    </row>
    <row r="2919" spans="2:2" x14ac:dyDescent="0.2">
      <c r="B2919" s="141">
        <f t="shared" si="46"/>
        <v>0</v>
      </c>
    </row>
    <row r="2920" spans="2:2" x14ac:dyDescent="0.2">
      <c r="B2920" s="141">
        <f t="shared" si="46"/>
        <v>0</v>
      </c>
    </row>
    <row r="2921" spans="2:2" x14ac:dyDescent="0.2">
      <c r="B2921" s="141">
        <f t="shared" si="46"/>
        <v>0</v>
      </c>
    </row>
    <row r="2922" spans="2:2" x14ac:dyDescent="0.2">
      <c r="B2922" s="141">
        <f t="shared" si="46"/>
        <v>0</v>
      </c>
    </row>
    <row r="2923" spans="2:2" x14ac:dyDescent="0.2">
      <c r="B2923" s="141">
        <f t="shared" si="46"/>
        <v>0</v>
      </c>
    </row>
    <row r="2924" spans="2:2" x14ac:dyDescent="0.2">
      <c r="B2924" s="141">
        <f t="shared" si="46"/>
        <v>0</v>
      </c>
    </row>
    <row r="2925" spans="2:2" x14ac:dyDescent="0.2">
      <c r="B2925" s="141">
        <f t="shared" si="46"/>
        <v>0</v>
      </c>
    </row>
    <row r="2926" spans="2:2" x14ac:dyDescent="0.2">
      <c r="B2926" s="141">
        <f t="shared" ref="B2926:B2989" si="47">_xlfn.NUMBERVALUE(L2926)*0.01</f>
        <v>0</v>
      </c>
    </row>
    <row r="2927" spans="2:2" x14ac:dyDescent="0.2">
      <c r="B2927" s="141">
        <f t="shared" si="47"/>
        <v>0</v>
      </c>
    </row>
    <row r="2928" spans="2:2" x14ac:dyDescent="0.2">
      <c r="B2928" s="141">
        <f t="shared" si="47"/>
        <v>0</v>
      </c>
    </row>
    <row r="2929" spans="2:2" x14ac:dyDescent="0.2">
      <c r="B2929" s="141">
        <f t="shared" si="47"/>
        <v>0</v>
      </c>
    </row>
    <row r="2930" spans="2:2" x14ac:dyDescent="0.2">
      <c r="B2930" s="141">
        <f t="shared" si="47"/>
        <v>0</v>
      </c>
    </row>
    <row r="2931" spans="2:2" x14ac:dyDescent="0.2">
      <c r="B2931" s="141">
        <f t="shared" si="47"/>
        <v>0</v>
      </c>
    </row>
    <row r="2932" spans="2:2" x14ac:dyDescent="0.2">
      <c r="B2932" s="141">
        <f t="shared" si="47"/>
        <v>0</v>
      </c>
    </row>
    <row r="2933" spans="2:2" x14ac:dyDescent="0.2">
      <c r="B2933" s="141">
        <f t="shared" si="47"/>
        <v>0</v>
      </c>
    </row>
    <row r="2934" spans="2:2" x14ac:dyDescent="0.2">
      <c r="B2934" s="141">
        <f t="shared" si="47"/>
        <v>0</v>
      </c>
    </row>
    <row r="2935" spans="2:2" x14ac:dyDescent="0.2">
      <c r="B2935" s="141">
        <f t="shared" si="47"/>
        <v>0</v>
      </c>
    </row>
    <row r="2936" spans="2:2" x14ac:dyDescent="0.2">
      <c r="B2936" s="141">
        <f t="shared" si="47"/>
        <v>0</v>
      </c>
    </row>
    <row r="2937" spans="2:2" x14ac:dyDescent="0.2">
      <c r="B2937" s="141">
        <f t="shared" si="47"/>
        <v>0</v>
      </c>
    </row>
    <row r="2938" spans="2:2" x14ac:dyDescent="0.2">
      <c r="B2938" s="141">
        <f t="shared" si="47"/>
        <v>0</v>
      </c>
    </row>
    <row r="2939" spans="2:2" x14ac:dyDescent="0.2">
      <c r="B2939" s="141">
        <f t="shared" si="47"/>
        <v>0</v>
      </c>
    </row>
    <row r="2940" spans="2:2" x14ac:dyDescent="0.2">
      <c r="B2940" s="141">
        <f t="shared" si="47"/>
        <v>0</v>
      </c>
    </row>
    <row r="2941" spans="2:2" x14ac:dyDescent="0.2">
      <c r="B2941" s="141">
        <f t="shared" si="47"/>
        <v>0</v>
      </c>
    </row>
    <row r="2942" spans="2:2" x14ac:dyDescent="0.2">
      <c r="B2942" s="141">
        <f t="shared" si="47"/>
        <v>0</v>
      </c>
    </row>
    <row r="2943" spans="2:2" x14ac:dyDescent="0.2">
      <c r="B2943" s="141">
        <f t="shared" si="47"/>
        <v>0</v>
      </c>
    </row>
    <row r="2944" spans="2:2" x14ac:dyDescent="0.2">
      <c r="B2944" s="141">
        <f t="shared" si="47"/>
        <v>0</v>
      </c>
    </row>
    <row r="2945" spans="2:2" x14ac:dyDescent="0.2">
      <c r="B2945" s="141">
        <f t="shared" si="47"/>
        <v>0</v>
      </c>
    </row>
    <row r="2946" spans="2:2" x14ac:dyDescent="0.2">
      <c r="B2946" s="141">
        <f t="shared" si="47"/>
        <v>0</v>
      </c>
    </row>
    <row r="2947" spans="2:2" x14ac:dyDescent="0.2">
      <c r="B2947" s="141">
        <f t="shared" si="47"/>
        <v>0</v>
      </c>
    </row>
    <row r="2948" spans="2:2" x14ac:dyDescent="0.2">
      <c r="B2948" s="141">
        <f t="shared" si="47"/>
        <v>0</v>
      </c>
    </row>
    <row r="2949" spans="2:2" x14ac:dyDescent="0.2">
      <c r="B2949" s="141">
        <f t="shared" si="47"/>
        <v>0</v>
      </c>
    </row>
    <row r="2950" spans="2:2" x14ac:dyDescent="0.2">
      <c r="B2950" s="141">
        <f t="shared" si="47"/>
        <v>0</v>
      </c>
    </row>
    <row r="2951" spans="2:2" x14ac:dyDescent="0.2">
      <c r="B2951" s="141">
        <f t="shared" si="47"/>
        <v>0</v>
      </c>
    </row>
    <row r="2952" spans="2:2" x14ac:dyDescent="0.2">
      <c r="B2952" s="141">
        <f t="shared" si="47"/>
        <v>0</v>
      </c>
    </row>
    <row r="2953" spans="2:2" x14ac:dyDescent="0.2">
      <c r="B2953" s="141">
        <f t="shared" si="47"/>
        <v>0</v>
      </c>
    </row>
    <row r="2954" spans="2:2" x14ac:dyDescent="0.2">
      <c r="B2954" s="141">
        <f t="shared" si="47"/>
        <v>0</v>
      </c>
    </row>
    <row r="2955" spans="2:2" x14ac:dyDescent="0.2">
      <c r="B2955" s="141">
        <f t="shared" si="47"/>
        <v>0</v>
      </c>
    </row>
    <row r="2956" spans="2:2" x14ac:dyDescent="0.2">
      <c r="B2956" s="141">
        <f t="shared" si="47"/>
        <v>0</v>
      </c>
    </row>
    <row r="2957" spans="2:2" x14ac:dyDescent="0.2">
      <c r="B2957" s="141">
        <f t="shared" si="47"/>
        <v>0</v>
      </c>
    </row>
    <row r="2958" spans="2:2" x14ac:dyDescent="0.2">
      <c r="B2958" s="141">
        <f t="shared" si="47"/>
        <v>0</v>
      </c>
    </row>
    <row r="2959" spans="2:2" x14ac:dyDescent="0.2">
      <c r="B2959" s="141">
        <f t="shared" si="47"/>
        <v>0</v>
      </c>
    </row>
    <row r="2960" spans="2:2" x14ac:dyDescent="0.2">
      <c r="B2960" s="141">
        <f t="shared" si="47"/>
        <v>0</v>
      </c>
    </row>
    <row r="2961" spans="2:2" x14ac:dyDescent="0.2">
      <c r="B2961" s="141">
        <f t="shared" si="47"/>
        <v>0</v>
      </c>
    </row>
    <row r="2962" spans="2:2" x14ac:dyDescent="0.2">
      <c r="B2962" s="141">
        <f t="shared" si="47"/>
        <v>0</v>
      </c>
    </row>
    <row r="2963" spans="2:2" x14ac:dyDescent="0.2">
      <c r="B2963" s="141">
        <f t="shared" si="47"/>
        <v>0</v>
      </c>
    </row>
    <row r="2964" spans="2:2" x14ac:dyDescent="0.2">
      <c r="B2964" s="141">
        <f t="shared" si="47"/>
        <v>0</v>
      </c>
    </row>
    <row r="2965" spans="2:2" x14ac:dyDescent="0.2">
      <c r="B2965" s="141">
        <f t="shared" si="47"/>
        <v>0</v>
      </c>
    </row>
    <row r="2966" spans="2:2" x14ac:dyDescent="0.2">
      <c r="B2966" s="141">
        <f t="shared" si="47"/>
        <v>0</v>
      </c>
    </row>
    <row r="2967" spans="2:2" x14ac:dyDescent="0.2">
      <c r="B2967" s="141">
        <f t="shared" si="47"/>
        <v>0</v>
      </c>
    </row>
    <row r="2968" spans="2:2" x14ac:dyDescent="0.2">
      <c r="B2968" s="141">
        <f t="shared" si="47"/>
        <v>0</v>
      </c>
    </row>
    <row r="2969" spans="2:2" x14ac:dyDescent="0.2">
      <c r="B2969" s="141">
        <f t="shared" si="47"/>
        <v>0</v>
      </c>
    </row>
    <row r="2970" spans="2:2" x14ac:dyDescent="0.2">
      <c r="B2970" s="141">
        <f t="shared" si="47"/>
        <v>0</v>
      </c>
    </row>
    <row r="2971" spans="2:2" x14ac:dyDescent="0.2">
      <c r="B2971" s="141">
        <f t="shared" si="47"/>
        <v>0</v>
      </c>
    </row>
    <row r="2972" spans="2:2" x14ac:dyDescent="0.2">
      <c r="B2972" s="141">
        <f t="shared" si="47"/>
        <v>0</v>
      </c>
    </row>
    <row r="2973" spans="2:2" x14ac:dyDescent="0.2">
      <c r="B2973" s="141">
        <f t="shared" si="47"/>
        <v>0</v>
      </c>
    </row>
    <row r="2974" spans="2:2" x14ac:dyDescent="0.2">
      <c r="B2974" s="141">
        <f t="shared" si="47"/>
        <v>0</v>
      </c>
    </row>
    <row r="2975" spans="2:2" x14ac:dyDescent="0.2">
      <c r="B2975" s="141">
        <f t="shared" si="47"/>
        <v>0</v>
      </c>
    </row>
    <row r="2976" spans="2:2" x14ac:dyDescent="0.2">
      <c r="B2976" s="141">
        <f t="shared" si="47"/>
        <v>0</v>
      </c>
    </row>
    <row r="2977" spans="2:2" x14ac:dyDescent="0.2">
      <c r="B2977" s="141">
        <f t="shared" si="47"/>
        <v>0</v>
      </c>
    </row>
    <row r="2978" spans="2:2" x14ac:dyDescent="0.2">
      <c r="B2978" s="141">
        <f t="shared" si="47"/>
        <v>0</v>
      </c>
    </row>
    <row r="2979" spans="2:2" x14ac:dyDescent="0.2">
      <c r="B2979" s="141">
        <f t="shared" si="47"/>
        <v>0</v>
      </c>
    </row>
    <row r="2980" spans="2:2" x14ac:dyDescent="0.2">
      <c r="B2980" s="141">
        <f t="shared" si="47"/>
        <v>0</v>
      </c>
    </row>
    <row r="2981" spans="2:2" x14ac:dyDescent="0.2">
      <c r="B2981" s="141">
        <f t="shared" si="47"/>
        <v>0</v>
      </c>
    </row>
    <row r="2982" spans="2:2" x14ac:dyDescent="0.2">
      <c r="B2982" s="141">
        <f t="shared" si="47"/>
        <v>0</v>
      </c>
    </row>
    <row r="2983" spans="2:2" x14ac:dyDescent="0.2">
      <c r="B2983" s="141">
        <f t="shared" si="47"/>
        <v>0</v>
      </c>
    </row>
    <row r="2984" spans="2:2" x14ac:dyDescent="0.2">
      <c r="B2984" s="141">
        <f t="shared" si="47"/>
        <v>0</v>
      </c>
    </row>
    <row r="2985" spans="2:2" x14ac:dyDescent="0.2">
      <c r="B2985" s="141">
        <f t="shared" si="47"/>
        <v>0</v>
      </c>
    </row>
    <row r="2986" spans="2:2" x14ac:dyDescent="0.2">
      <c r="B2986" s="141">
        <f t="shared" si="47"/>
        <v>0</v>
      </c>
    </row>
    <row r="2987" spans="2:2" x14ac:dyDescent="0.2">
      <c r="B2987" s="141">
        <f t="shared" si="47"/>
        <v>0</v>
      </c>
    </row>
    <row r="2988" spans="2:2" x14ac:dyDescent="0.2">
      <c r="B2988" s="141">
        <f t="shared" si="47"/>
        <v>0</v>
      </c>
    </row>
    <row r="2989" spans="2:2" x14ac:dyDescent="0.2">
      <c r="B2989" s="141">
        <f t="shared" si="47"/>
        <v>0</v>
      </c>
    </row>
    <row r="2990" spans="2:2" x14ac:dyDescent="0.2">
      <c r="B2990" s="141">
        <f t="shared" ref="B2990:B2991" si="48">_xlfn.NUMBERVALUE(L2990)*0.01</f>
        <v>0</v>
      </c>
    </row>
    <row r="2991" spans="2:2" x14ac:dyDescent="0.2">
      <c r="B2991" s="141">
        <f t="shared" si="48"/>
        <v>0</v>
      </c>
    </row>
  </sheetData>
  <autoFilter ref="A1:P1969" xr:uid="{00000000-0009-0000-0000-000003000000}">
    <sortState xmlns:xlrd2="http://schemas.microsoft.com/office/spreadsheetml/2017/richdata2" ref="A2:P1969">
      <sortCondition descending="1" ref="C1:C1969"/>
    </sortState>
  </autoFilter>
  <sortState xmlns:xlrd2="http://schemas.microsoft.com/office/spreadsheetml/2017/richdata2" ref="A2:Q1056">
    <sortCondition ref="E2:E1056"/>
  </sortState>
  <phoneticPr fontId="27" type="noConversion"/>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258D74F5-68E5-472D-BBB1-9BD29839FC89}">
          <x14:formula1>
            <xm:f>Kostensoorts!$A:$A</xm:f>
          </x14:formula1>
          <xm:sqref>A1608 A1506:A1527 A1:A249 A1138:A1504 A252:A1129 A1603 A1631 A1640 A1667 A1645:A1646 A1655 A2063:A1048576 A1671:A2061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4251-8213-488C-AF47-AA482BB6D528}">
  <sheetPr>
    <tabColor theme="9" tint="0.59999389629810485"/>
  </sheetPr>
  <dimension ref="A1:AQ800"/>
  <sheetViews>
    <sheetView zoomScaleNormal="143" zoomScalePageLayoutView="143" workbookViewId="0">
      <pane ySplit="1" topLeftCell="A2" activePane="bottomLeft" state="frozen"/>
      <selection pane="bottomLeft" activeCell="E29" sqref="E29"/>
    </sheetView>
  </sheetViews>
  <sheetFormatPr baseColWidth="10" defaultColWidth="10.83203125" defaultRowHeight="15" x14ac:dyDescent="0.2"/>
  <cols>
    <col min="1" max="1" width="32.5" style="40" customWidth="1"/>
    <col min="2" max="2" width="14" customWidth="1"/>
    <col min="3" max="3" width="12.83203125" customWidth="1"/>
    <col min="4" max="4" width="12.83203125" style="139" customWidth="1"/>
    <col min="5" max="5" width="23.1640625" customWidth="1"/>
    <col min="6" max="6" width="19.1640625" bestFit="1" customWidth="1"/>
    <col min="7" max="7" width="28.6640625" bestFit="1" customWidth="1"/>
    <col min="8" max="8" width="10.5" customWidth="1"/>
    <col min="9" max="9" width="16.1640625" bestFit="1" customWidth="1"/>
    <col min="10" max="10" width="247.5" hidden="1" customWidth="1"/>
    <col min="11" max="11" width="45.83203125" customWidth="1"/>
    <col min="12" max="12" width="68.33203125" customWidth="1"/>
  </cols>
  <sheetData>
    <row r="1" spans="1:12" x14ac:dyDescent="0.2">
      <c r="A1" s="295" t="s">
        <v>348</v>
      </c>
      <c r="B1" s="296" t="s">
        <v>349</v>
      </c>
      <c r="C1" s="297" t="s">
        <v>355</v>
      </c>
      <c r="D1" s="299" t="s">
        <v>350</v>
      </c>
      <c r="E1" s="300" t="s">
        <v>351</v>
      </c>
      <c r="F1" s="296" t="s">
        <v>356</v>
      </c>
      <c r="G1" s="297" t="s">
        <v>357</v>
      </c>
      <c r="H1" s="299" t="s">
        <v>359</v>
      </c>
      <c r="I1" s="296" t="s">
        <v>360</v>
      </c>
      <c r="J1" s="294" t="s">
        <v>352</v>
      </c>
      <c r="K1" s="297" t="s">
        <v>361</v>
      </c>
      <c r="L1" s="298" t="s">
        <v>354</v>
      </c>
    </row>
    <row r="2" spans="1:12" x14ac:dyDescent="0.2">
      <c r="J2" s="132" t="s">
        <v>364</v>
      </c>
      <c r="K2" s="132"/>
      <c r="L2" s="132"/>
    </row>
    <row r="3" spans="1:12" x14ac:dyDescent="0.2">
      <c r="A3" s="40" t="s">
        <v>320</v>
      </c>
      <c r="B3" s="633">
        <v>3000</v>
      </c>
      <c r="C3" s="131">
        <v>264418.45</v>
      </c>
      <c r="D3" s="131">
        <v>20241120</v>
      </c>
      <c r="E3" s="132" t="s">
        <v>425</v>
      </c>
      <c r="F3" s="132" t="s">
        <v>362</v>
      </c>
      <c r="G3" s="132"/>
      <c r="H3" s="132" t="s">
        <v>363</v>
      </c>
      <c r="I3" s="132" t="s">
        <v>365</v>
      </c>
      <c r="J3" s="132"/>
      <c r="K3" s="498"/>
    </row>
    <row r="4" spans="1:12" x14ac:dyDescent="0.2">
      <c r="B4" s="508"/>
      <c r="C4" s="507"/>
      <c r="D4" s="280"/>
      <c r="E4" s="132"/>
      <c r="F4" s="132"/>
      <c r="G4" s="132"/>
      <c r="H4" s="132"/>
      <c r="I4" s="132"/>
      <c r="J4" s="132"/>
    </row>
    <row r="5" spans="1:12" x14ac:dyDescent="0.2">
      <c r="B5" s="508"/>
      <c r="C5" s="507"/>
      <c r="D5" s="280"/>
      <c r="E5" s="132"/>
      <c r="F5" s="132"/>
      <c r="G5" s="132"/>
      <c r="H5" s="132"/>
      <c r="I5" s="132"/>
      <c r="J5" s="132"/>
      <c r="K5" s="498"/>
    </row>
    <row r="6" spans="1:12" x14ac:dyDescent="0.2">
      <c r="B6" s="508"/>
      <c r="C6" s="507"/>
      <c r="D6" s="280"/>
      <c r="E6" s="132"/>
      <c r="F6" s="132"/>
      <c r="G6" s="132"/>
      <c r="H6" s="132"/>
      <c r="I6" s="132"/>
      <c r="J6" s="132"/>
      <c r="K6" s="498"/>
    </row>
    <row r="7" spans="1:12" x14ac:dyDescent="0.2">
      <c r="B7" s="508"/>
      <c r="C7" s="507"/>
      <c r="D7" s="280"/>
      <c r="E7" s="132"/>
      <c r="F7" s="132"/>
      <c r="G7" s="132"/>
      <c r="H7" s="132"/>
      <c r="I7" s="132"/>
      <c r="J7" s="132"/>
    </row>
    <row r="8" spans="1:12" x14ac:dyDescent="0.2">
      <c r="B8" s="508"/>
      <c r="C8" s="507"/>
      <c r="D8" s="280"/>
      <c r="E8" s="132"/>
      <c r="F8" s="132"/>
      <c r="G8" s="132"/>
      <c r="H8" s="132"/>
      <c r="I8" s="132"/>
      <c r="J8" s="132"/>
    </row>
    <row r="9" spans="1:12" x14ac:dyDescent="0.2">
      <c r="A9"/>
      <c r="B9" s="508"/>
      <c r="C9" s="507"/>
      <c r="D9" s="280"/>
      <c r="E9" s="132"/>
      <c r="F9" s="132"/>
      <c r="G9" s="132"/>
      <c r="H9" s="132"/>
      <c r="I9" s="132"/>
      <c r="J9" s="132"/>
      <c r="K9" s="498"/>
    </row>
    <row r="10" spans="1:12" x14ac:dyDescent="0.2">
      <c r="B10" s="508"/>
      <c r="C10" s="507"/>
      <c r="D10" s="280"/>
      <c r="E10" s="132"/>
      <c r="F10" s="132"/>
      <c r="G10" s="132"/>
      <c r="H10" s="132"/>
      <c r="I10" s="132"/>
      <c r="J10" s="132"/>
      <c r="K10" s="498"/>
    </row>
    <row r="11" spans="1:12" ht="16" x14ac:dyDescent="0.2">
      <c r="B11" s="41"/>
      <c r="C11" s="497"/>
      <c r="D11" s="131"/>
      <c r="E11" s="132"/>
      <c r="F11" s="132"/>
      <c r="G11" s="132"/>
      <c r="H11" s="132"/>
      <c r="I11" s="132"/>
      <c r="J11" s="132"/>
    </row>
    <row r="12" spans="1:12" x14ac:dyDescent="0.2">
      <c r="B12" s="41"/>
      <c r="D12" s="131"/>
      <c r="J12" s="132" t="s">
        <v>7340</v>
      </c>
      <c r="K12" s="498"/>
    </row>
    <row r="13" spans="1:12" ht="16" x14ac:dyDescent="0.2">
      <c r="B13" s="41"/>
      <c r="C13" s="497"/>
      <c r="D13" s="131"/>
      <c r="E13" s="132"/>
      <c r="F13" s="132"/>
      <c r="G13" s="132"/>
      <c r="H13" s="132"/>
      <c r="I13" s="132"/>
      <c r="J13" s="132"/>
      <c r="K13" s="498"/>
    </row>
    <row r="14" spans="1:12" ht="16" x14ac:dyDescent="0.2">
      <c r="B14" s="41"/>
      <c r="C14" s="497"/>
      <c r="D14" s="131"/>
      <c r="E14" s="132"/>
      <c r="F14" s="132"/>
      <c r="G14" s="132"/>
      <c r="H14" s="132"/>
      <c r="I14" s="132"/>
      <c r="J14" s="132"/>
      <c r="K14" s="498"/>
    </row>
    <row r="15" spans="1:12" ht="16" x14ac:dyDescent="0.2">
      <c r="B15" s="41"/>
      <c r="C15" s="497"/>
      <c r="D15" s="131"/>
      <c r="E15" s="132"/>
      <c r="F15" s="132"/>
      <c r="G15" s="132"/>
      <c r="H15" s="132"/>
      <c r="I15" s="132"/>
      <c r="J15" s="132"/>
    </row>
    <row r="16" spans="1:12" ht="16" x14ac:dyDescent="0.2">
      <c r="B16" s="41"/>
      <c r="C16" s="497"/>
      <c r="D16" s="131"/>
      <c r="E16" s="132"/>
      <c r="F16" s="132"/>
      <c r="G16" s="132"/>
      <c r="H16" s="132"/>
      <c r="I16" s="132"/>
      <c r="J16" s="132"/>
    </row>
    <row r="17" spans="2:11" ht="16" x14ac:dyDescent="0.2">
      <c r="B17" s="41"/>
      <c r="C17" s="497"/>
      <c r="D17" s="131"/>
      <c r="E17" s="132"/>
      <c r="F17" s="132"/>
      <c r="G17" s="132"/>
      <c r="H17" s="132"/>
      <c r="I17" s="132"/>
      <c r="J17" s="132"/>
      <c r="K17" s="498"/>
    </row>
    <row r="18" spans="2:11" ht="16" x14ac:dyDescent="0.2">
      <c r="B18" s="41"/>
      <c r="C18" s="497"/>
      <c r="D18" s="131"/>
      <c r="E18" s="132"/>
      <c r="F18" s="132"/>
      <c r="G18" s="132"/>
      <c r="H18" s="132"/>
      <c r="I18" s="132"/>
      <c r="J18" s="132"/>
    </row>
    <row r="19" spans="2:11" ht="16" x14ac:dyDescent="0.2">
      <c r="B19" s="41"/>
      <c r="C19" s="497"/>
      <c r="D19" s="131"/>
      <c r="E19" s="132"/>
      <c r="F19" s="132"/>
      <c r="G19" s="132"/>
      <c r="H19" s="132"/>
      <c r="I19" s="132"/>
      <c r="J19" s="132"/>
    </row>
    <row r="20" spans="2:11" ht="16" x14ac:dyDescent="0.2">
      <c r="B20" s="41"/>
      <c r="C20" s="497"/>
      <c r="D20" s="131"/>
      <c r="E20" s="132"/>
      <c r="F20" s="132"/>
      <c r="G20" s="132"/>
      <c r="H20" s="132"/>
      <c r="I20" s="132"/>
      <c r="J20" s="132"/>
      <c r="K20" s="498"/>
    </row>
    <row r="21" spans="2:11" ht="16" x14ac:dyDescent="0.2">
      <c r="B21" s="41"/>
      <c r="C21" s="497"/>
      <c r="D21" s="131"/>
      <c r="E21" s="132"/>
      <c r="F21" s="132"/>
      <c r="G21" s="132"/>
      <c r="H21" s="132"/>
      <c r="I21" s="132"/>
      <c r="J21" s="132"/>
    </row>
    <row r="22" spans="2:11" ht="16" x14ac:dyDescent="0.2">
      <c r="B22" s="41"/>
      <c r="C22" s="497"/>
      <c r="D22" s="131"/>
      <c r="E22" s="132"/>
      <c r="F22" s="132"/>
      <c r="G22" s="132"/>
      <c r="H22" s="132"/>
      <c r="I22" s="132"/>
      <c r="J22" s="132"/>
    </row>
    <row r="23" spans="2:11" ht="16" x14ac:dyDescent="0.2">
      <c r="B23" s="41"/>
      <c r="C23" s="497"/>
      <c r="D23" s="131"/>
      <c r="E23" s="132"/>
      <c r="F23" s="132"/>
      <c r="G23" s="132"/>
      <c r="H23" s="132"/>
      <c r="I23" s="132"/>
      <c r="J23" s="132"/>
    </row>
    <row r="24" spans="2:11" ht="16" x14ac:dyDescent="0.2">
      <c r="B24" s="41"/>
      <c r="C24" s="497"/>
      <c r="D24" s="131"/>
      <c r="E24" s="132"/>
      <c r="F24" s="132"/>
      <c r="G24" s="132"/>
      <c r="H24" s="132"/>
      <c r="I24" s="132"/>
      <c r="J24" s="132"/>
      <c r="K24" s="498"/>
    </row>
    <row r="25" spans="2:11" ht="16" x14ac:dyDescent="0.2">
      <c r="B25" s="41"/>
      <c r="C25" s="497"/>
      <c r="D25" s="131"/>
      <c r="E25" s="132"/>
      <c r="F25" s="132"/>
      <c r="G25" s="132"/>
      <c r="H25" s="132"/>
      <c r="I25" s="132"/>
      <c r="J25" s="132"/>
    </row>
    <row r="26" spans="2:11" ht="16" x14ac:dyDescent="0.2">
      <c r="B26" s="41"/>
      <c r="C26" s="497"/>
      <c r="D26" s="131"/>
      <c r="E26" s="132"/>
      <c r="F26" s="132"/>
      <c r="G26" s="132"/>
      <c r="H26" s="132"/>
      <c r="I26" s="132"/>
      <c r="J26" s="132"/>
    </row>
    <row r="27" spans="2:11" ht="16" x14ac:dyDescent="0.2">
      <c r="B27" s="41"/>
      <c r="C27" s="497"/>
      <c r="D27" s="131"/>
      <c r="E27" s="132"/>
      <c r="F27" s="132"/>
      <c r="G27" s="132"/>
      <c r="H27" s="132"/>
      <c r="I27" s="132"/>
      <c r="J27" s="132"/>
    </row>
    <row r="28" spans="2:11" ht="16" x14ac:dyDescent="0.2">
      <c r="B28" s="41"/>
      <c r="C28" s="497"/>
      <c r="D28" s="131"/>
      <c r="E28" s="132"/>
      <c r="F28" s="132"/>
      <c r="G28" s="132"/>
      <c r="H28" s="132"/>
      <c r="I28" s="132"/>
      <c r="J28" s="132"/>
    </row>
    <row r="29" spans="2:11" ht="16" x14ac:dyDescent="0.2">
      <c r="B29" s="41"/>
      <c r="C29" s="497"/>
      <c r="D29" s="131"/>
      <c r="E29" s="132"/>
      <c r="F29" s="132"/>
      <c r="G29" s="132"/>
      <c r="H29" s="132"/>
      <c r="I29" s="132"/>
      <c r="J29" s="132"/>
    </row>
    <row r="30" spans="2:11" ht="16" x14ac:dyDescent="0.2">
      <c r="B30" s="41"/>
      <c r="C30" s="497"/>
      <c r="D30" s="131"/>
      <c r="E30" s="132"/>
      <c r="F30" s="132"/>
      <c r="G30" s="133"/>
      <c r="H30" s="132"/>
      <c r="I30" s="132"/>
      <c r="J30" s="132"/>
    </row>
    <row r="31" spans="2:11" ht="16" x14ac:dyDescent="0.2">
      <c r="B31" s="41"/>
      <c r="C31" s="497"/>
      <c r="D31" s="131"/>
      <c r="E31" s="132"/>
      <c r="F31" s="132"/>
      <c r="G31" s="132"/>
      <c r="H31" s="132"/>
      <c r="I31" s="132"/>
      <c r="J31" s="132"/>
    </row>
    <row r="32" spans="2:11" ht="16" x14ac:dyDescent="0.2">
      <c r="B32" s="41"/>
      <c r="C32" s="497"/>
      <c r="D32" s="131"/>
      <c r="E32" s="132"/>
      <c r="F32" s="132"/>
      <c r="G32" s="132"/>
      <c r="H32" s="132"/>
      <c r="I32" s="132"/>
      <c r="J32" s="132"/>
    </row>
    <row r="33" spans="2:11" ht="16" x14ac:dyDescent="0.2">
      <c r="B33" s="41"/>
      <c r="C33" s="497"/>
      <c r="D33" s="131"/>
      <c r="E33" s="132"/>
      <c r="F33" s="132"/>
      <c r="G33" s="132"/>
      <c r="H33" s="132"/>
      <c r="I33" s="132"/>
      <c r="J33" s="132"/>
    </row>
    <row r="34" spans="2:11" ht="16" x14ac:dyDescent="0.2">
      <c r="B34" s="41"/>
      <c r="C34" s="497"/>
      <c r="D34" s="131"/>
      <c r="E34" s="132"/>
      <c r="F34" s="132"/>
      <c r="G34" s="132"/>
      <c r="H34" s="132"/>
      <c r="I34" s="132"/>
      <c r="J34" s="132"/>
    </row>
    <row r="35" spans="2:11" ht="16" x14ac:dyDescent="0.2">
      <c r="B35" s="41"/>
      <c r="C35" s="497"/>
      <c r="D35" s="131"/>
      <c r="E35" s="132"/>
      <c r="F35" s="132"/>
      <c r="G35" s="132"/>
      <c r="H35" s="132"/>
      <c r="I35" s="132"/>
      <c r="J35" s="132"/>
    </row>
    <row r="36" spans="2:11" ht="16" x14ac:dyDescent="0.2">
      <c r="B36" s="41"/>
      <c r="C36" s="497"/>
      <c r="D36" s="131"/>
      <c r="E36" s="132"/>
      <c r="F36" s="132"/>
      <c r="G36" s="132"/>
      <c r="H36" s="132"/>
      <c r="I36" s="132"/>
      <c r="J36" s="132"/>
      <c r="K36" s="498"/>
    </row>
    <row r="37" spans="2:11" ht="16" x14ac:dyDescent="0.2">
      <c r="B37" s="41"/>
      <c r="C37" s="497"/>
      <c r="D37" s="131"/>
      <c r="E37" s="132"/>
      <c r="F37" s="132"/>
      <c r="G37" s="132"/>
      <c r="H37" s="132"/>
      <c r="I37" s="132"/>
      <c r="J37" s="132"/>
      <c r="K37" s="498"/>
    </row>
    <row r="38" spans="2:11" ht="16" x14ac:dyDescent="0.2">
      <c r="B38" s="41"/>
      <c r="C38" s="497"/>
      <c r="D38" s="131"/>
      <c r="E38" s="132"/>
      <c r="F38" s="132"/>
      <c r="G38" s="132"/>
      <c r="H38" s="132"/>
      <c r="I38" s="132"/>
      <c r="J38" s="132"/>
    </row>
    <row r="39" spans="2:11" ht="16" x14ac:dyDescent="0.2">
      <c r="B39" s="41"/>
      <c r="C39" s="497"/>
      <c r="D39" s="131"/>
      <c r="E39" s="132"/>
      <c r="F39" s="132"/>
      <c r="G39" s="132"/>
      <c r="H39" s="132"/>
      <c r="I39" s="132"/>
      <c r="J39" s="132"/>
      <c r="K39" s="498"/>
    </row>
    <row r="40" spans="2:11" ht="16" x14ac:dyDescent="0.2">
      <c r="B40" s="41"/>
      <c r="C40" s="497"/>
      <c r="D40" s="131"/>
      <c r="E40" s="132"/>
      <c r="F40" s="132"/>
      <c r="G40" s="132"/>
      <c r="H40" s="132"/>
      <c r="I40" s="132"/>
      <c r="J40" s="132"/>
    </row>
    <row r="41" spans="2:11" ht="16" x14ac:dyDescent="0.2">
      <c r="B41" s="41"/>
      <c r="C41" s="497"/>
      <c r="D41" s="131"/>
      <c r="E41" s="132"/>
      <c r="F41" s="132"/>
      <c r="G41" s="132"/>
      <c r="H41" s="132"/>
      <c r="I41" s="132"/>
      <c r="J41" s="132"/>
      <c r="K41" s="498"/>
    </row>
    <row r="42" spans="2:11" ht="16" x14ac:dyDescent="0.2">
      <c r="B42" s="41"/>
      <c r="C42" s="497"/>
      <c r="D42" s="131"/>
      <c r="E42" s="132"/>
      <c r="F42" s="132"/>
      <c r="G42" s="132"/>
      <c r="H42" s="132"/>
      <c r="I42" s="132"/>
      <c r="J42" s="132"/>
      <c r="K42" s="498"/>
    </row>
    <row r="43" spans="2:11" ht="16" x14ac:dyDescent="0.2">
      <c r="B43" s="41"/>
      <c r="C43" s="497"/>
      <c r="D43" s="131"/>
      <c r="E43" s="132"/>
      <c r="F43" s="132"/>
      <c r="G43" s="132"/>
      <c r="H43" s="132"/>
      <c r="I43" s="132"/>
      <c r="J43" s="132"/>
      <c r="K43" s="498"/>
    </row>
    <row r="44" spans="2:11" ht="16" x14ac:dyDescent="0.2">
      <c r="B44" s="41"/>
      <c r="C44" s="497"/>
      <c r="D44" s="131"/>
      <c r="E44" s="132"/>
      <c r="F44" s="132"/>
      <c r="G44" s="132"/>
      <c r="H44" s="132"/>
      <c r="I44" s="132"/>
      <c r="J44" s="132"/>
      <c r="K44" s="498"/>
    </row>
    <row r="45" spans="2:11" ht="16" x14ac:dyDescent="0.2">
      <c r="B45" s="41"/>
      <c r="C45" s="497"/>
      <c r="D45" s="131"/>
      <c r="E45" s="132"/>
      <c r="F45" s="132"/>
      <c r="G45" s="132"/>
      <c r="H45" s="132"/>
      <c r="I45" s="132"/>
      <c r="J45" s="132"/>
    </row>
    <row r="46" spans="2:11" ht="16" x14ac:dyDescent="0.2">
      <c r="B46" s="41"/>
      <c r="C46" s="497"/>
      <c r="D46" s="131"/>
      <c r="E46" s="132"/>
      <c r="F46" s="132"/>
      <c r="G46" s="132"/>
      <c r="H46" s="132"/>
      <c r="I46" s="132"/>
      <c r="J46" s="132"/>
    </row>
    <row r="47" spans="2:11" ht="16" x14ac:dyDescent="0.2">
      <c r="B47" s="41"/>
      <c r="C47" s="497"/>
      <c r="D47" s="131"/>
      <c r="E47" s="132"/>
      <c r="F47" s="132"/>
      <c r="G47" s="132"/>
      <c r="H47" s="132"/>
      <c r="I47" s="132"/>
      <c r="J47" s="132"/>
    </row>
    <row r="48" spans="2:11" ht="16" x14ac:dyDescent="0.2">
      <c r="B48" s="41"/>
      <c r="C48" s="497"/>
      <c r="D48" s="131"/>
      <c r="E48" s="132"/>
      <c r="F48" s="132"/>
      <c r="G48" s="132"/>
      <c r="H48" s="132"/>
      <c r="I48" s="132"/>
      <c r="J48" s="132"/>
      <c r="K48" s="498"/>
    </row>
    <row r="49" spans="2:11" ht="16" x14ac:dyDescent="0.2">
      <c r="B49" s="41"/>
      <c r="C49" s="497"/>
      <c r="D49" s="131"/>
      <c r="E49" s="132"/>
      <c r="F49" s="132"/>
      <c r="G49" s="132"/>
      <c r="H49" s="132"/>
      <c r="I49" s="132"/>
      <c r="J49" s="132"/>
      <c r="K49" s="498"/>
    </row>
    <row r="50" spans="2:11" ht="16" x14ac:dyDescent="0.2">
      <c r="B50" s="41"/>
      <c r="C50" s="497"/>
      <c r="D50" s="131"/>
      <c r="E50" s="132"/>
      <c r="F50" s="132"/>
      <c r="G50" s="132"/>
      <c r="H50" s="132"/>
      <c r="I50" s="132"/>
      <c r="J50" s="132"/>
    </row>
    <row r="51" spans="2:11" ht="16" x14ac:dyDescent="0.2">
      <c r="B51" s="41"/>
      <c r="C51" s="497"/>
      <c r="D51" s="131"/>
      <c r="E51" s="132"/>
      <c r="F51" s="132"/>
      <c r="G51" s="132"/>
      <c r="H51" s="132"/>
      <c r="I51" s="132"/>
      <c r="J51" s="132"/>
    </row>
    <row r="52" spans="2:11" ht="16" x14ac:dyDescent="0.2">
      <c r="B52" s="41"/>
      <c r="C52" s="497"/>
      <c r="D52" s="131"/>
      <c r="E52" s="132"/>
      <c r="F52" s="132"/>
      <c r="G52" s="132"/>
      <c r="H52" s="132"/>
      <c r="I52" s="132"/>
      <c r="J52" s="132"/>
    </row>
    <row r="53" spans="2:11" ht="16" x14ac:dyDescent="0.2">
      <c r="B53" s="41"/>
      <c r="C53" s="497"/>
      <c r="D53" s="131"/>
      <c r="E53" s="132"/>
      <c r="F53" s="132"/>
      <c r="G53" s="132"/>
      <c r="H53" s="132"/>
      <c r="I53" s="132"/>
      <c r="J53" s="132"/>
    </row>
    <row r="54" spans="2:11" ht="16" x14ac:dyDescent="0.2">
      <c r="B54" s="41"/>
      <c r="C54" s="497"/>
      <c r="D54" s="131"/>
      <c r="E54" s="132"/>
      <c r="F54" s="132"/>
      <c r="G54" s="132"/>
      <c r="H54" s="132"/>
      <c r="I54" s="132"/>
      <c r="J54" s="132"/>
    </row>
    <row r="55" spans="2:11" ht="16" x14ac:dyDescent="0.2">
      <c r="B55" s="41"/>
      <c r="C55" s="497"/>
      <c r="D55" s="131"/>
      <c r="E55" s="132"/>
      <c r="F55" s="132"/>
      <c r="G55" s="132"/>
      <c r="H55" s="132"/>
      <c r="I55" s="132"/>
      <c r="J55" s="132"/>
    </row>
    <row r="56" spans="2:11" ht="16" x14ac:dyDescent="0.2">
      <c r="B56" s="41"/>
      <c r="C56" s="497"/>
      <c r="D56" s="131"/>
      <c r="E56" s="132"/>
      <c r="F56" s="132"/>
      <c r="G56" s="132"/>
      <c r="H56" s="132"/>
      <c r="I56" s="132"/>
      <c r="J56" s="132"/>
    </row>
    <row r="57" spans="2:11" ht="16" x14ac:dyDescent="0.2">
      <c r="B57" s="41"/>
      <c r="C57" s="497"/>
      <c r="D57" s="131"/>
      <c r="E57" s="132"/>
      <c r="F57" s="132"/>
      <c r="G57" s="132"/>
      <c r="H57" s="132"/>
      <c r="I57" s="132"/>
      <c r="J57" s="132"/>
      <c r="K57" s="498"/>
    </row>
    <row r="58" spans="2:11" ht="16" x14ac:dyDescent="0.2">
      <c r="B58" s="41"/>
      <c r="C58" s="497"/>
      <c r="D58" s="131"/>
      <c r="E58" s="132"/>
      <c r="F58" s="132"/>
      <c r="G58" s="132"/>
      <c r="H58" s="132"/>
      <c r="I58" s="132"/>
      <c r="J58" s="132"/>
      <c r="K58" s="498"/>
    </row>
    <row r="59" spans="2:11" ht="16" x14ac:dyDescent="0.2">
      <c r="B59" s="41"/>
      <c r="C59" s="497"/>
      <c r="D59" s="131"/>
      <c r="E59" s="132"/>
      <c r="F59" s="132"/>
      <c r="G59" s="132"/>
      <c r="H59" s="132"/>
      <c r="I59" s="132"/>
      <c r="J59" s="132"/>
    </row>
    <row r="60" spans="2:11" ht="16" x14ac:dyDescent="0.2">
      <c r="B60" s="41"/>
      <c r="C60" s="497"/>
      <c r="D60" s="131"/>
      <c r="E60" s="132"/>
      <c r="F60" s="132"/>
      <c r="G60" s="132"/>
      <c r="H60" s="132"/>
      <c r="I60" s="132"/>
      <c r="J60" s="132"/>
    </row>
    <row r="61" spans="2:11" ht="16" x14ac:dyDescent="0.2">
      <c r="B61" s="41"/>
      <c r="C61" s="497"/>
      <c r="D61" s="131"/>
      <c r="E61" s="132"/>
      <c r="F61" s="132"/>
      <c r="G61" s="132"/>
      <c r="H61" s="132"/>
      <c r="I61" s="132"/>
      <c r="J61" s="132"/>
    </row>
    <row r="62" spans="2:11" ht="16" x14ac:dyDescent="0.2">
      <c r="B62" s="41"/>
      <c r="C62" s="497"/>
      <c r="D62" s="131"/>
      <c r="E62" s="132"/>
      <c r="F62" s="132"/>
      <c r="G62" s="132"/>
      <c r="H62" s="132"/>
      <c r="I62" s="132"/>
      <c r="J62" s="132"/>
      <c r="K62" s="498"/>
    </row>
    <row r="63" spans="2:11" ht="16" x14ac:dyDescent="0.2">
      <c r="B63" s="41"/>
      <c r="C63" s="497"/>
      <c r="D63" s="131"/>
      <c r="E63" s="132"/>
      <c r="F63" s="132"/>
      <c r="G63" s="132"/>
      <c r="H63" s="132"/>
      <c r="I63" s="132"/>
      <c r="J63" s="132"/>
    </row>
    <row r="64" spans="2:11" ht="16" x14ac:dyDescent="0.2">
      <c r="B64" s="41"/>
      <c r="C64" s="497"/>
      <c r="D64" s="131"/>
      <c r="E64" s="132"/>
      <c r="F64" s="132"/>
      <c r="G64" s="132"/>
      <c r="H64" s="132"/>
      <c r="I64" s="132"/>
      <c r="J64" s="132"/>
    </row>
    <row r="65" spans="2:11" ht="16" x14ac:dyDescent="0.2">
      <c r="B65" s="41"/>
      <c r="C65" s="497"/>
      <c r="D65" s="131"/>
      <c r="E65" s="132"/>
      <c r="F65" s="132"/>
      <c r="G65" s="132"/>
      <c r="H65" s="132"/>
      <c r="I65" s="132"/>
      <c r="J65" s="132"/>
    </row>
    <row r="66" spans="2:11" ht="16" x14ac:dyDescent="0.2">
      <c r="B66" s="41"/>
      <c r="C66" s="497"/>
      <c r="D66" s="131"/>
      <c r="E66" s="132"/>
      <c r="F66" s="132"/>
      <c r="G66" s="132"/>
      <c r="H66" s="132"/>
      <c r="I66" s="132"/>
      <c r="J66" s="132"/>
      <c r="K66" s="498"/>
    </row>
    <row r="67" spans="2:11" ht="16" x14ac:dyDescent="0.2">
      <c r="B67" s="41"/>
      <c r="C67" s="497"/>
      <c r="D67" s="131"/>
      <c r="E67" s="132"/>
      <c r="F67" s="132"/>
      <c r="G67" s="132"/>
      <c r="H67" s="132"/>
      <c r="I67" s="132"/>
      <c r="J67" s="132"/>
      <c r="K67" s="498"/>
    </row>
    <row r="68" spans="2:11" ht="16" x14ac:dyDescent="0.2">
      <c r="B68" s="41"/>
      <c r="C68" s="497"/>
      <c r="D68" s="131"/>
      <c r="E68" s="132"/>
      <c r="F68" s="132"/>
      <c r="G68" s="132"/>
      <c r="H68" s="132"/>
      <c r="I68" s="132"/>
      <c r="J68" s="132"/>
      <c r="K68" s="498"/>
    </row>
    <row r="69" spans="2:11" ht="16" x14ac:dyDescent="0.2">
      <c r="B69" s="41"/>
      <c r="C69" s="497"/>
      <c r="D69" s="131"/>
      <c r="E69" s="132"/>
      <c r="F69" s="132"/>
      <c r="G69" s="132"/>
      <c r="H69" s="132"/>
      <c r="I69" s="132"/>
      <c r="J69" s="132"/>
      <c r="K69" s="498"/>
    </row>
    <row r="70" spans="2:11" ht="16" x14ac:dyDescent="0.2">
      <c r="B70" s="41"/>
      <c r="C70" s="497"/>
      <c r="D70" s="131"/>
      <c r="E70" s="132"/>
      <c r="F70" s="132"/>
      <c r="G70" s="132"/>
      <c r="H70" s="132"/>
      <c r="I70" s="132"/>
      <c r="J70" s="132"/>
      <c r="K70" s="498"/>
    </row>
    <row r="71" spans="2:11" ht="16" x14ac:dyDescent="0.2">
      <c r="B71" s="41"/>
      <c r="C71" s="497"/>
      <c r="D71" s="131"/>
      <c r="E71" s="132"/>
      <c r="F71" s="132"/>
      <c r="G71" s="132"/>
      <c r="H71" s="132"/>
      <c r="I71" s="132"/>
      <c r="J71" s="132"/>
      <c r="K71" s="498"/>
    </row>
    <row r="72" spans="2:11" ht="16" x14ac:dyDescent="0.2">
      <c r="B72" s="41"/>
      <c r="C72" s="497"/>
      <c r="D72" s="131"/>
      <c r="E72" s="132"/>
      <c r="F72" s="132"/>
      <c r="G72" s="132"/>
      <c r="H72" s="132"/>
      <c r="I72" s="132"/>
      <c r="J72" s="132"/>
      <c r="K72" s="498"/>
    </row>
    <row r="73" spans="2:11" ht="16" x14ac:dyDescent="0.2">
      <c r="B73" s="41"/>
      <c r="C73" s="497"/>
      <c r="D73" s="131"/>
      <c r="E73" s="132"/>
      <c r="F73" s="132"/>
      <c r="G73" s="132"/>
      <c r="H73" s="132"/>
      <c r="I73" s="132"/>
      <c r="J73" s="132"/>
      <c r="K73" s="498"/>
    </row>
    <row r="74" spans="2:11" ht="16" x14ac:dyDescent="0.2">
      <c r="B74" s="41"/>
      <c r="C74" s="497"/>
      <c r="D74" s="131"/>
      <c r="E74" s="132"/>
      <c r="F74" s="132"/>
      <c r="G74" s="132"/>
      <c r="H74" s="132"/>
      <c r="I74" s="132"/>
      <c r="J74" s="132"/>
      <c r="K74" s="498"/>
    </row>
    <row r="75" spans="2:11" ht="16" x14ac:dyDescent="0.2">
      <c r="B75" s="41"/>
      <c r="C75" s="497"/>
      <c r="D75" s="131"/>
      <c r="E75" s="132"/>
      <c r="F75" s="132"/>
      <c r="G75" s="132"/>
      <c r="H75" s="132"/>
      <c r="I75" s="132"/>
      <c r="J75" s="132"/>
      <c r="K75" s="498"/>
    </row>
    <row r="76" spans="2:11" ht="16" x14ac:dyDescent="0.2">
      <c r="B76" s="41"/>
      <c r="C76" s="497"/>
      <c r="D76" s="131"/>
      <c r="E76" s="132"/>
      <c r="F76" s="132"/>
      <c r="G76" s="132"/>
      <c r="H76" s="132"/>
      <c r="I76" s="132"/>
      <c r="J76" s="132"/>
      <c r="K76" s="498"/>
    </row>
    <row r="77" spans="2:11" ht="16" x14ac:dyDescent="0.2">
      <c r="B77" s="41"/>
      <c r="C77" s="497"/>
      <c r="D77" s="131"/>
      <c r="E77" s="132"/>
      <c r="F77" s="132"/>
      <c r="G77" s="132"/>
      <c r="H77" s="132"/>
      <c r="I77" s="132"/>
      <c r="J77" s="132"/>
    </row>
    <row r="78" spans="2:11" ht="16" x14ac:dyDescent="0.2">
      <c r="B78" s="41"/>
      <c r="C78" s="497"/>
      <c r="D78" s="131"/>
      <c r="E78" s="132"/>
      <c r="F78" s="132"/>
      <c r="G78" s="132"/>
      <c r="H78" s="132"/>
      <c r="I78" s="132"/>
      <c r="J78" s="132"/>
    </row>
    <row r="79" spans="2:11" ht="16" x14ac:dyDescent="0.2">
      <c r="B79" s="41"/>
      <c r="C79" s="497"/>
      <c r="D79" s="131"/>
      <c r="E79" s="132"/>
      <c r="F79" s="132"/>
      <c r="G79" s="132"/>
      <c r="H79" s="132"/>
      <c r="I79" s="132"/>
      <c r="J79" s="132"/>
    </row>
    <row r="80" spans="2:11" ht="16" x14ac:dyDescent="0.2">
      <c r="B80" s="41"/>
      <c r="C80" s="497"/>
      <c r="D80" s="131"/>
      <c r="E80" s="132"/>
      <c r="F80" s="132"/>
      <c r="G80" s="132"/>
      <c r="H80" s="132"/>
      <c r="I80" s="132"/>
      <c r="J80" s="132"/>
    </row>
    <row r="81" spans="2:11" ht="16" x14ac:dyDescent="0.2">
      <c r="B81" s="41"/>
      <c r="C81" s="497"/>
      <c r="D81" s="131"/>
      <c r="E81" s="132"/>
      <c r="F81" s="132"/>
      <c r="G81" s="132"/>
      <c r="H81" s="132"/>
      <c r="I81" s="132"/>
      <c r="J81" s="132"/>
      <c r="K81" s="498"/>
    </row>
    <row r="82" spans="2:11" ht="16" x14ac:dyDescent="0.2">
      <c r="B82" s="41"/>
      <c r="C82" s="497"/>
      <c r="D82" s="131"/>
      <c r="E82" s="132"/>
      <c r="F82" s="132"/>
      <c r="G82" s="132"/>
      <c r="H82" s="132"/>
      <c r="I82" s="132"/>
      <c r="J82" s="132"/>
      <c r="K82" s="498"/>
    </row>
    <row r="83" spans="2:11" ht="16" x14ac:dyDescent="0.2">
      <c r="B83" s="41"/>
      <c r="C83" s="497"/>
      <c r="D83" s="131"/>
      <c r="E83" s="132"/>
      <c r="F83" s="132"/>
      <c r="G83" s="132"/>
      <c r="H83" s="132"/>
      <c r="I83" s="132"/>
      <c r="J83" s="132"/>
      <c r="K83" s="498"/>
    </row>
    <row r="84" spans="2:11" ht="16" x14ac:dyDescent="0.2">
      <c r="B84" s="41"/>
      <c r="C84" s="497"/>
      <c r="D84" s="131"/>
      <c r="E84" s="132"/>
      <c r="F84" s="132"/>
      <c r="G84" s="132"/>
      <c r="H84" s="132"/>
      <c r="I84" s="132"/>
      <c r="J84" s="132"/>
    </row>
    <row r="85" spans="2:11" ht="16" x14ac:dyDescent="0.2">
      <c r="B85" s="41"/>
      <c r="C85" s="497"/>
      <c r="D85" s="131"/>
      <c r="E85" s="132"/>
      <c r="F85" s="132"/>
      <c r="G85" s="132"/>
      <c r="H85" s="132"/>
      <c r="I85" s="132"/>
      <c r="J85" s="132"/>
    </row>
    <row r="86" spans="2:11" ht="16" x14ac:dyDescent="0.2">
      <c r="B86" s="41"/>
      <c r="C86" s="497"/>
      <c r="D86" s="131"/>
      <c r="E86" s="132"/>
      <c r="F86" s="132"/>
      <c r="G86" s="133"/>
      <c r="H86" s="132"/>
      <c r="I86" s="132"/>
      <c r="J86" s="132"/>
    </row>
    <row r="87" spans="2:11" ht="16" x14ac:dyDescent="0.2">
      <c r="B87" s="41"/>
      <c r="C87" s="497"/>
      <c r="D87" s="131"/>
      <c r="E87" s="132"/>
      <c r="F87" s="132"/>
      <c r="G87" s="133"/>
      <c r="H87" s="132"/>
      <c r="I87" s="132"/>
      <c r="J87" s="132"/>
    </row>
    <row r="88" spans="2:11" ht="16" x14ac:dyDescent="0.2">
      <c r="B88" s="41"/>
      <c r="C88" s="497"/>
      <c r="D88" s="131"/>
      <c r="E88" s="132"/>
      <c r="F88" s="132"/>
      <c r="G88" s="132"/>
      <c r="H88" s="132"/>
      <c r="I88" s="132"/>
      <c r="J88" s="132"/>
    </row>
    <row r="89" spans="2:11" ht="16" x14ac:dyDescent="0.2">
      <c r="B89" s="41"/>
      <c r="C89" s="497"/>
      <c r="D89" s="131"/>
      <c r="E89" s="132"/>
      <c r="F89" s="132"/>
      <c r="G89" s="132"/>
      <c r="H89" s="132"/>
      <c r="I89" s="132"/>
      <c r="J89" s="132"/>
    </row>
    <row r="90" spans="2:11" ht="16" x14ac:dyDescent="0.2">
      <c r="B90" s="41"/>
      <c r="C90" s="497"/>
      <c r="D90" s="131"/>
      <c r="E90" s="132"/>
      <c r="F90" s="132"/>
      <c r="G90" s="132"/>
      <c r="H90" s="132"/>
      <c r="I90" s="132"/>
      <c r="J90" s="132"/>
    </row>
    <row r="91" spans="2:11" ht="16" x14ac:dyDescent="0.2">
      <c r="B91" s="41"/>
      <c r="C91" s="497"/>
      <c r="D91" s="131"/>
      <c r="E91" s="132"/>
      <c r="F91" s="132"/>
      <c r="G91" s="132"/>
      <c r="H91" s="132"/>
      <c r="I91" s="132"/>
      <c r="J91" s="132"/>
      <c r="K91" s="498"/>
    </row>
    <row r="92" spans="2:11" ht="16" x14ac:dyDescent="0.2">
      <c r="B92" s="41"/>
      <c r="C92" s="497"/>
      <c r="D92" s="131"/>
      <c r="E92" s="132"/>
      <c r="F92" s="132"/>
      <c r="G92" s="132"/>
      <c r="H92" s="132"/>
      <c r="I92" s="132"/>
      <c r="J92" s="132"/>
      <c r="K92" s="498"/>
    </row>
    <row r="93" spans="2:11" ht="16" x14ac:dyDescent="0.2">
      <c r="B93" s="41"/>
      <c r="C93" s="497"/>
      <c r="D93" s="131"/>
      <c r="E93" s="132"/>
      <c r="F93" s="132"/>
      <c r="G93" s="133"/>
      <c r="H93" s="132"/>
      <c r="I93" s="132"/>
      <c r="J93" s="132"/>
      <c r="K93" s="498"/>
    </row>
    <row r="94" spans="2:11" ht="16" x14ac:dyDescent="0.2">
      <c r="B94" s="41"/>
      <c r="C94" s="497"/>
      <c r="D94" s="131"/>
      <c r="E94" s="132"/>
      <c r="F94" s="132"/>
      <c r="G94" s="132"/>
      <c r="H94" s="132"/>
      <c r="I94" s="132"/>
      <c r="J94" s="132"/>
      <c r="K94" s="498"/>
    </row>
    <row r="95" spans="2:11" ht="16" x14ac:dyDescent="0.2">
      <c r="B95" s="41"/>
      <c r="C95" s="497"/>
      <c r="D95" s="131"/>
      <c r="E95" s="132"/>
      <c r="F95" s="132"/>
      <c r="G95" s="133"/>
      <c r="H95" s="132"/>
      <c r="I95" s="132"/>
      <c r="J95" s="132"/>
      <c r="K95" s="498"/>
    </row>
    <row r="96" spans="2:11" ht="16" x14ac:dyDescent="0.2">
      <c r="B96" s="41"/>
      <c r="C96" s="497"/>
      <c r="D96" s="131"/>
      <c r="E96" s="132"/>
      <c r="F96" s="132"/>
      <c r="G96" s="132"/>
      <c r="H96" s="132"/>
      <c r="I96" s="132"/>
      <c r="J96" s="132"/>
      <c r="K96" s="498"/>
    </row>
    <row r="97" spans="2:11" ht="16" x14ac:dyDescent="0.2">
      <c r="B97" s="41"/>
      <c r="C97" s="497"/>
      <c r="D97" s="131"/>
      <c r="E97" s="132"/>
      <c r="F97" s="132"/>
      <c r="G97" s="132"/>
      <c r="H97" s="132"/>
      <c r="I97" s="132"/>
      <c r="J97" s="132"/>
      <c r="K97" s="498"/>
    </row>
    <row r="98" spans="2:11" ht="16" x14ac:dyDescent="0.2">
      <c r="B98" s="41"/>
      <c r="C98" s="497"/>
      <c r="D98" s="131"/>
      <c r="E98" s="132"/>
      <c r="F98" s="132"/>
      <c r="G98" s="132"/>
      <c r="H98" s="132"/>
      <c r="I98" s="132"/>
      <c r="J98" s="132"/>
      <c r="K98" s="498"/>
    </row>
    <row r="99" spans="2:11" ht="16" x14ac:dyDescent="0.2">
      <c r="B99" s="41"/>
      <c r="C99" s="497"/>
      <c r="D99" s="131"/>
      <c r="E99" s="132"/>
      <c r="F99" s="132"/>
      <c r="G99" s="132"/>
      <c r="H99" s="132"/>
      <c r="I99" s="132"/>
      <c r="J99" s="132"/>
    </row>
    <row r="100" spans="2:11" ht="16" x14ac:dyDescent="0.2">
      <c r="B100" s="41"/>
      <c r="C100" s="497"/>
      <c r="D100" s="131"/>
      <c r="E100" s="132"/>
      <c r="F100" s="132"/>
      <c r="G100" s="132"/>
      <c r="H100" s="132"/>
      <c r="I100" s="132"/>
      <c r="J100" s="132"/>
    </row>
    <row r="101" spans="2:11" ht="16" x14ac:dyDescent="0.2">
      <c r="B101" s="41"/>
      <c r="C101" s="497"/>
      <c r="D101" s="131"/>
      <c r="E101" s="132"/>
      <c r="F101" s="132"/>
      <c r="G101" s="132"/>
      <c r="H101" s="132"/>
      <c r="I101" s="132"/>
      <c r="J101" s="132"/>
    </row>
    <row r="102" spans="2:11" ht="16" x14ac:dyDescent="0.2">
      <c r="B102" s="41"/>
      <c r="C102" s="497"/>
      <c r="D102" s="131"/>
      <c r="E102" s="132"/>
      <c r="F102" s="132"/>
      <c r="G102" s="132"/>
      <c r="H102" s="132"/>
      <c r="I102" s="132"/>
      <c r="J102" s="132"/>
    </row>
    <row r="103" spans="2:11" ht="16" x14ac:dyDescent="0.2">
      <c r="B103" s="41"/>
      <c r="C103" s="497"/>
      <c r="D103" s="131"/>
      <c r="E103" s="132"/>
      <c r="F103" s="132"/>
      <c r="G103" s="132"/>
      <c r="H103" s="132"/>
      <c r="I103" s="132"/>
      <c r="J103" s="132"/>
      <c r="K103" s="498"/>
    </row>
    <row r="104" spans="2:11" ht="16" x14ac:dyDescent="0.2">
      <c r="B104" s="41"/>
      <c r="C104" s="497"/>
      <c r="D104" s="131"/>
      <c r="E104" s="132"/>
      <c r="F104" s="132"/>
      <c r="G104" s="132"/>
      <c r="H104" s="132"/>
      <c r="I104" s="132"/>
      <c r="J104" s="132"/>
    </row>
    <row r="105" spans="2:11" ht="16" x14ac:dyDescent="0.2">
      <c r="B105" s="41"/>
      <c r="C105" s="497"/>
      <c r="D105" s="131"/>
      <c r="E105" s="132"/>
      <c r="F105" s="132"/>
      <c r="G105" s="132"/>
      <c r="H105" s="132"/>
      <c r="I105" s="132"/>
      <c r="J105" s="132"/>
    </row>
    <row r="106" spans="2:11" ht="16" x14ac:dyDescent="0.2">
      <c r="B106" s="41"/>
      <c r="C106" s="497"/>
      <c r="D106" s="131"/>
      <c r="E106" s="132"/>
      <c r="F106" s="132"/>
      <c r="G106" s="132"/>
      <c r="H106" s="132"/>
      <c r="I106" s="132"/>
      <c r="J106" s="132"/>
    </row>
    <row r="107" spans="2:11" ht="16" x14ac:dyDescent="0.2">
      <c r="B107" s="41"/>
      <c r="C107" s="497"/>
      <c r="D107" s="131"/>
      <c r="E107" s="132"/>
      <c r="F107" s="132"/>
      <c r="G107" s="132"/>
      <c r="H107" s="132"/>
      <c r="I107" s="132"/>
      <c r="J107" s="132"/>
    </row>
    <row r="108" spans="2:11" ht="16" x14ac:dyDescent="0.2">
      <c r="B108" s="41"/>
      <c r="C108" s="497"/>
      <c r="D108" s="131"/>
      <c r="E108" s="132"/>
      <c r="F108" s="132"/>
      <c r="G108" s="132"/>
      <c r="H108" s="132"/>
      <c r="I108" s="132"/>
      <c r="J108" s="132"/>
    </row>
    <row r="109" spans="2:11" ht="16" x14ac:dyDescent="0.2">
      <c r="B109" s="41"/>
      <c r="C109" s="497"/>
      <c r="D109" s="131"/>
      <c r="E109" s="132"/>
      <c r="F109" s="132"/>
      <c r="G109" s="132"/>
      <c r="H109" s="132"/>
      <c r="I109" s="132"/>
      <c r="J109" s="132"/>
    </row>
    <row r="110" spans="2:11" ht="16" x14ac:dyDescent="0.2">
      <c r="B110" s="41"/>
      <c r="C110" s="497"/>
      <c r="D110" s="131"/>
      <c r="E110" s="132"/>
      <c r="F110" s="132"/>
      <c r="G110" s="132"/>
      <c r="H110" s="132"/>
      <c r="I110" s="132"/>
      <c r="J110" s="132"/>
    </row>
    <row r="111" spans="2:11" ht="16" x14ac:dyDescent="0.2">
      <c r="B111" s="41"/>
      <c r="C111" s="497"/>
      <c r="D111" s="131"/>
      <c r="E111" s="132"/>
      <c r="F111" s="132"/>
      <c r="G111" s="132"/>
      <c r="H111" s="132"/>
      <c r="I111" s="132"/>
      <c r="J111" s="132"/>
      <c r="K111" s="498"/>
    </row>
    <row r="112" spans="2:11" ht="16" x14ac:dyDescent="0.2">
      <c r="B112" s="41"/>
      <c r="C112" s="497"/>
      <c r="D112" s="131"/>
      <c r="E112" s="132"/>
      <c r="F112" s="132"/>
      <c r="G112" s="132"/>
      <c r="H112" s="132"/>
      <c r="I112" s="132"/>
      <c r="J112" s="132"/>
      <c r="K112" s="498"/>
    </row>
    <row r="113" spans="2:11" ht="16" x14ac:dyDescent="0.2">
      <c r="B113" s="41"/>
      <c r="C113" s="497"/>
      <c r="D113" s="131"/>
      <c r="E113" s="132"/>
      <c r="F113" s="132"/>
      <c r="G113" s="132"/>
      <c r="H113" s="132"/>
      <c r="I113" s="132"/>
      <c r="J113" s="132"/>
    </row>
    <row r="114" spans="2:11" ht="16" x14ac:dyDescent="0.2">
      <c r="B114" s="41"/>
      <c r="C114" s="497"/>
      <c r="D114" s="131"/>
      <c r="E114" s="132"/>
      <c r="F114" s="132"/>
      <c r="G114" s="132"/>
      <c r="H114" s="132"/>
      <c r="I114" s="132"/>
      <c r="J114" s="132"/>
    </row>
    <row r="115" spans="2:11" ht="16" x14ac:dyDescent="0.2">
      <c r="B115" s="41"/>
      <c r="C115" s="497"/>
      <c r="D115" s="131"/>
      <c r="E115" s="132"/>
      <c r="F115" s="132"/>
      <c r="G115" s="132"/>
      <c r="H115" s="132"/>
      <c r="I115" s="132"/>
      <c r="J115" s="132"/>
    </row>
    <row r="116" spans="2:11" ht="16" x14ac:dyDescent="0.2">
      <c r="B116" s="41"/>
      <c r="C116" s="497"/>
      <c r="D116" s="131"/>
      <c r="E116" s="132"/>
      <c r="F116" s="132"/>
      <c r="G116" s="132"/>
      <c r="H116" s="132"/>
      <c r="I116" s="132"/>
      <c r="J116" s="132"/>
    </row>
    <row r="117" spans="2:11" ht="16" x14ac:dyDescent="0.2">
      <c r="B117" s="41"/>
      <c r="C117" s="497"/>
      <c r="D117" s="131"/>
      <c r="E117" s="132"/>
      <c r="F117" s="132"/>
      <c r="G117" s="132"/>
      <c r="H117" s="132"/>
      <c r="I117" s="132"/>
      <c r="J117" s="132"/>
    </row>
    <row r="118" spans="2:11" ht="16" x14ac:dyDescent="0.2">
      <c r="B118" s="41"/>
      <c r="C118" s="497"/>
      <c r="D118" s="131"/>
      <c r="E118" s="132"/>
      <c r="F118" s="132"/>
      <c r="G118" s="132"/>
      <c r="H118" s="132"/>
      <c r="I118" s="132"/>
      <c r="J118" s="132"/>
    </row>
    <row r="119" spans="2:11" ht="16" x14ac:dyDescent="0.2">
      <c r="B119" s="41"/>
      <c r="C119" s="497"/>
      <c r="D119" s="131"/>
      <c r="E119" s="132"/>
      <c r="F119" s="132"/>
      <c r="G119" s="132"/>
      <c r="H119" s="132"/>
      <c r="I119" s="132"/>
      <c r="J119" s="132"/>
      <c r="K119" s="498"/>
    </row>
    <row r="120" spans="2:11" ht="16" x14ac:dyDescent="0.2">
      <c r="B120" s="41"/>
      <c r="C120" s="497"/>
      <c r="D120" s="131"/>
      <c r="E120" s="132"/>
      <c r="F120" s="132"/>
      <c r="G120" s="132"/>
      <c r="H120" s="132"/>
      <c r="I120" s="132"/>
      <c r="J120" s="132"/>
      <c r="K120" s="498"/>
    </row>
    <row r="121" spans="2:11" ht="16" x14ac:dyDescent="0.2">
      <c r="B121" s="41"/>
      <c r="C121" s="497"/>
      <c r="D121" s="131"/>
      <c r="E121" s="132"/>
      <c r="F121" s="132"/>
      <c r="G121" s="132"/>
      <c r="H121" s="132"/>
      <c r="I121" s="132"/>
      <c r="J121" s="132"/>
      <c r="K121" s="498"/>
    </row>
    <row r="122" spans="2:11" ht="16" x14ac:dyDescent="0.2">
      <c r="B122" s="41"/>
      <c r="C122" s="497"/>
      <c r="D122" s="131"/>
      <c r="E122" s="132"/>
      <c r="F122" s="132"/>
      <c r="G122" s="132"/>
      <c r="H122" s="132"/>
      <c r="I122" s="132"/>
      <c r="J122" s="132"/>
      <c r="K122" s="498"/>
    </row>
    <row r="123" spans="2:11" ht="16" x14ac:dyDescent="0.2">
      <c r="B123" s="41"/>
      <c r="C123" s="497"/>
      <c r="D123" s="131"/>
      <c r="E123" s="132"/>
      <c r="F123" s="132"/>
      <c r="G123" s="132"/>
      <c r="H123" s="132"/>
      <c r="I123" s="132"/>
      <c r="J123" s="132"/>
      <c r="K123" s="498"/>
    </row>
    <row r="124" spans="2:11" ht="16" x14ac:dyDescent="0.2">
      <c r="B124" s="41"/>
      <c r="C124" s="497"/>
      <c r="D124" s="131"/>
      <c r="E124" s="132"/>
      <c r="F124" s="132"/>
      <c r="G124" s="132"/>
      <c r="H124" s="132"/>
      <c r="I124" s="132"/>
      <c r="J124" s="132"/>
      <c r="K124" s="498"/>
    </row>
    <row r="125" spans="2:11" ht="16" x14ac:dyDescent="0.2">
      <c r="B125" s="41"/>
      <c r="C125" s="497"/>
      <c r="D125" s="131"/>
      <c r="E125" s="132"/>
      <c r="F125" s="132"/>
      <c r="G125" s="132"/>
      <c r="H125" s="132"/>
      <c r="I125" s="132"/>
      <c r="J125" s="132"/>
    </row>
    <row r="126" spans="2:11" ht="16" x14ac:dyDescent="0.2">
      <c r="B126" s="41"/>
      <c r="C126" s="497"/>
      <c r="D126" s="131"/>
      <c r="E126" s="132"/>
      <c r="F126" s="132"/>
      <c r="G126" s="132"/>
      <c r="H126" s="132"/>
      <c r="I126" s="132"/>
      <c r="J126" s="132"/>
      <c r="K126" s="498"/>
    </row>
    <row r="127" spans="2:11" ht="16" x14ac:dyDescent="0.2">
      <c r="B127" s="41"/>
      <c r="C127" s="497"/>
      <c r="D127" s="131"/>
      <c r="E127" s="132"/>
      <c r="F127" s="132"/>
      <c r="G127" s="132"/>
      <c r="H127" s="132"/>
      <c r="I127" s="132"/>
      <c r="J127" s="132"/>
      <c r="K127" s="498"/>
    </row>
    <row r="128" spans="2:11" ht="16" x14ac:dyDescent="0.2">
      <c r="B128" s="41"/>
      <c r="C128" s="497"/>
      <c r="D128" s="131"/>
      <c r="E128" s="132"/>
      <c r="F128" s="132"/>
      <c r="G128" s="132"/>
      <c r="H128" s="132"/>
      <c r="I128" s="132"/>
      <c r="J128" s="132"/>
      <c r="K128" s="498"/>
    </row>
    <row r="129" spans="2:11" ht="16" x14ac:dyDescent="0.2">
      <c r="B129" s="41"/>
      <c r="C129" s="497"/>
      <c r="D129" s="131"/>
      <c r="E129" s="132"/>
      <c r="F129" s="132"/>
      <c r="G129" s="132"/>
      <c r="H129" s="132"/>
      <c r="I129" s="132"/>
      <c r="J129" s="132"/>
    </row>
    <row r="130" spans="2:11" ht="16" x14ac:dyDescent="0.2">
      <c r="B130" s="41"/>
      <c r="C130" s="497"/>
      <c r="D130" s="131"/>
      <c r="E130" s="132"/>
      <c r="F130" s="132"/>
      <c r="G130" s="133"/>
      <c r="H130" s="132"/>
      <c r="I130" s="132"/>
      <c r="J130" s="132"/>
    </row>
    <row r="131" spans="2:11" ht="16" x14ac:dyDescent="0.2">
      <c r="B131" s="41"/>
      <c r="C131" s="497"/>
      <c r="D131" s="131"/>
      <c r="E131" s="132"/>
      <c r="F131" s="132"/>
      <c r="G131" s="133"/>
      <c r="H131" s="132"/>
      <c r="I131" s="132"/>
      <c r="J131" s="132"/>
      <c r="K131" s="498"/>
    </row>
    <row r="132" spans="2:11" ht="16" x14ac:dyDescent="0.2">
      <c r="B132" s="41"/>
      <c r="C132" s="497"/>
      <c r="D132" s="131"/>
      <c r="E132" s="132"/>
      <c r="F132" s="132"/>
      <c r="G132" s="133"/>
      <c r="H132" s="132"/>
      <c r="I132" s="132"/>
      <c r="J132" s="132"/>
    </row>
    <row r="133" spans="2:11" ht="16" x14ac:dyDescent="0.2">
      <c r="B133" s="41"/>
      <c r="C133" s="497"/>
      <c r="D133" s="131"/>
      <c r="E133" s="132"/>
      <c r="F133" s="132"/>
      <c r="G133" s="133"/>
      <c r="H133" s="132"/>
      <c r="I133" s="132"/>
      <c r="J133" s="132"/>
    </row>
    <row r="134" spans="2:11" ht="16" x14ac:dyDescent="0.2">
      <c r="B134" s="41"/>
      <c r="C134" s="497"/>
      <c r="D134" s="131"/>
      <c r="E134" s="132"/>
      <c r="F134" s="132"/>
      <c r="G134" s="133"/>
      <c r="H134" s="132"/>
      <c r="I134" s="132"/>
      <c r="J134" s="132"/>
    </row>
    <row r="135" spans="2:11" ht="16" x14ac:dyDescent="0.2">
      <c r="B135" s="41"/>
      <c r="C135" s="497"/>
      <c r="D135" s="131"/>
      <c r="E135" s="132"/>
      <c r="F135" s="132"/>
      <c r="G135" s="132"/>
      <c r="H135" s="132"/>
      <c r="I135" s="132"/>
      <c r="J135" s="132"/>
    </row>
    <row r="136" spans="2:11" ht="16" x14ac:dyDescent="0.2">
      <c r="B136" s="41"/>
      <c r="C136" s="497"/>
      <c r="D136" s="131"/>
      <c r="E136" s="132"/>
      <c r="F136" s="132"/>
      <c r="G136" s="133"/>
      <c r="H136" s="132"/>
      <c r="I136" s="132"/>
      <c r="J136" s="132"/>
    </row>
    <row r="137" spans="2:11" ht="16" x14ac:dyDescent="0.2">
      <c r="B137" s="41"/>
      <c r="C137" s="497"/>
      <c r="D137" s="131"/>
      <c r="E137" s="132"/>
      <c r="F137" s="132"/>
      <c r="G137" s="133"/>
      <c r="H137" s="132"/>
      <c r="I137" s="132"/>
      <c r="J137" s="132"/>
      <c r="K137" s="498"/>
    </row>
    <row r="138" spans="2:11" ht="16" x14ac:dyDescent="0.2">
      <c r="B138" s="41"/>
      <c r="C138" s="497"/>
      <c r="D138" s="131"/>
      <c r="E138" s="132"/>
      <c r="F138" s="132"/>
      <c r="G138" s="132"/>
      <c r="H138" s="132"/>
      <c r="I138" s="132"/>
      <c r="J138" s="132"/>
      <c r="K138" s="498"/>
    </row>
    <row r="139" spans="2:11" ht="16" x14ac:dyDescent="0.2">
      <c r="B139" s="41"/>
      <c r="C139" s="497"/>
      <c r="D139" s="131"/>
      <c r="E139" s="132"/>
      <c r="F139" s="132"/>
      <c r="G139" s="132"/>
      <c r="H139" s="132"/>
      <c r="I139" s="132"/>
      <c r="J139" s="132"/>
      <c r="K139" s="498"/>
    </row>
    <row r="140" spans="2:11" ht="16" x14ac:dyDescent="0.2">
      <c r="B140" s="41"/>
      <c r="C140" s="497"/>
      <c r="D140" s="131"/>
      <c r="E140" s="132"/>
      <c r="F140" s="132"/>
      <c r="G140" s="132"/>
      <c r="H140" s="132"/>
      <c r="I140" s="132"/>
      <c r="J140" s="132"/>
      <c r="K140" s="498"/>
    </row>
    <row r="141" spans="2:11" ht="16" x14ac:dyDescent="0.2">
      <c r="B141" s="41"/>
      <c r="C141" s="497"/>
      <c r="D141" s="131"/>
      <c r="E141" s="132"/>
      <c r="F141" s="132"/>
      <c r="G141" s="132"/>
      <c r="H141" s="132"/>
      <c r="I141" s="132"/>
      <c r="J141" s="132"/>
      <c r="K141" s="498"/>
    </row>
    <row r="142" spans="2:11" ht="16" x14ac:dyDescent="0.2">
      <c r="B142" s="41"/>
      <c r="C142" s="497"/>
      <c r="D142" s="131"/>
      <c r="E142" s="132"/>
      <c r="F142" s="132"/>
      <c r="G142" s="133"/>
      <c r="H142" s="132"/>
      <c r="I142" s="132"/>
      <c r="J142" s="132"/>
      <c r="K142" s="498"/>
    </row>
    <row r="143" spans="2:11" ht="16" x14ac:dyDescent="0.2">
      <c r="B143" s="41"/>
      <c r="C143" s="497"/>
      <c r="D143" s="131"/>
      <c r="E143" s="132"/>
      <c r="F143" s="132"/>
      <c r="G143" s="132"/>
      <c r="H143" s="132"/>
      <c r="I143" s="132"/>
      <c r="J143" s="132"/>
    </row>
    <row r="144" spans="2:11" ht="16" x14ac:dyDescent="0.2">
      <c r="B144" s="41"/>
      <c r="C144" s="497"/>
      <c r="D144" s="131"/>
      <c r="E144" s="132"/>
      <c r="F144" s="132"/>
      <c r="G144" s="132"/>
      <c r="H144" s="132"/>
      <c r="I144" s="132"/>
    </row>
    <row r="145" spans="2:11" ht="16" x14ac:dyDescent="0.2">
      <c r="B145" s="41"/>
      <c r="C145" s="497"/>
      <c r="J145" s="132"/>
      <c r="K145" s="500"/>
    </row>
    <row r="146" spans="2:11" ht="16" x14ac:dyDescent="0.2">
      <c r="B146" s="41"/>
      <c r="C146" s="497"/>
    </row>
    <row r="147" spans="2:11" ht="16" x14ac:dyDescent="0.2">
      <c r="B147" s="41"/>
      <c r="C147" s="497"/>
    </row>
    <row r="148" spans="2:11" ht="16" x14ac:dyDescent="0.2">
      <c r="B148" s="41"/>
      <c r="C148" s="497"/>
    </row>
    <row r="149" spans="2:11" ht="16" x14ac:dyDescent="0.2">
      <c r="B149" s="41"/>
      <c r="C149" s="497"/>
      <c r="K149" s="498"/>
    </row>
    <row r="150" spans="2:11" ht="16" x14ac:dyDescent="0.2">
      <c r="B150" s="41"/>
      <c r="C150" s="497"/>
    </row>
    <row r="151" spans="2:11" ht="16" x14ac:dyDescent="0.2">
      <c r="B151" s="41"/>
      <c r="C151" s="497"/>
      <c r="K151" s="498"/>
    </row>
    <row r="152" spans="2:11" ht="16" x14ac:dyDescent="0.2">
      <c r="B152" s="41"/>
      <c r="C152" s="497"/>
    </row>
    <row r="153" spans="2:11" ht="16" x14ac:dyDescent="0.2">
      <c r="B153" s="41"/>
      <c r="C153" s="497"/>
      <c r="K153" s="498"/>
    </row>
    <row r="154" spans="2:11" ht="16" x14ac:dyDescent="0.2">
      <c r="B154" s="41"/>
      <c r="C154" s="497"/>
      <c r="K154" s="498"/>
    </row>
    <row r="155" spans="2:11" ht="16" x14ac:dyDescent="0.2">
      <c r="B155" s="41"/>
      <c r="C155" s="497"/>
      <c r="K155" s="285"/>
    </row>
    <row r="156" spans="2:11" ht="16" x14ac:dyDescent="0.2">
      <c r="B156" s="41"/>
      <c r="C156" s="497"/>
    </row>
    <row r="157" spans="2:11" ht="16" x14ac:dyDescent="0.2">
      <c r="B157" s="41"/>
      <c r="C157" s="497"/>
    </row>
    <row r="158" spans="2:11" ht="16" x14ac:dyDescent="0.2">
      <c r="B158" s="41"/>
      <c r="C158" s="497"/>
    </row>
    <row r="159" spans="2:11" ht="16" x14ac:dyDescent="0.2">
      <c r="B159" s="41"/>
      <c r="C159" s="497"/>
      <c r="K159" s="498"/>
    </row>
    <row r="160" spans="2:11" ht="16" x14ac:dyDescent="0.2">
      <c r="B160" s="41"/>
      <c r="C160" s="497"/>
    </row>
    <row r="161" spans="2:11" ht="16" x14ac:dyDescent="0.2">
      <c r="B161" s="41"/>
      <c r="C161" s="497"/>
      <c r="K161" s="498"/>
    </row>
    <row r="162" spans="2:11" ht="16" x14ac:dyDescent="0.2">
      <c r="B162" s="41"/>
      <c r="C162" s="497"/>
      <c r="K162" s="498"/>
    </row>
    <row r="163" spans="2:11" ht="16" x14ac:dyDescent="0.2">
      <c r="B163" s="41"/>
      <c r="C163" s="497"/>
      <c r="K163" s="498"/>
    </row>
    <row r="164" spans="2:11" ht="16" x14ac:dyDescent="0.2">
      <c r="B164" s="41"/>
      <c r="C164" s="497"/>
      <c r="K164" s="498"/>
    </row>
    <row r="165" spans="2:11" ht="16" x14ac:dyDescent="0.2">
      <c r="B165" s="41"/>
      <c r="C165" s="497"/>
      <c r="K165" s="498"/>
    </row>
    <row r="166" spans="2:11" ht="16" x14ac:dyDescent="0.2">
      <c r="B166" s="41"/>
      <c r="C166" s="497"/>
      <c r="K166" s="498"/>
    </row>
    <row r="167" spans="2:11" ht="16" x14ac:dyDescent="0.2">
      <c r="B167" s="41"/>
      <c r="C167" s="497"/>
      <c r="K167" s="498"/>
    </row>
    <row r="168" spans="2:11" ht="16" x14ac:dyDescent="0.2">
      <c r="B168" s="41"/>
      <c r="C168" s="497"/>
      <c r="K168" s="498"/>
    </row>
    <row r="169" spans="2:11" ht="16" x14ac:dyDescent="0.2">
      <c r="B169" s="41"/>
      <c r="C169" s="497"/>
    </row>
    <row r="170" spans="2:11" ht="16" x14ac:dyDescent="0.2">
      <c r="B170" s="41"/>
      <c r="C170" s="497"/>
    </row>
    <row r="171" spans="2:11" ht="16" x14ac:dyDescent="0.2">
      <c r="B171" s="41"/>
      <c r="C171" s="497"/>
    </row>
    <row r="172" spans="2:11" ht="16" x14ac:dyDescent="0.2">
      <c r="B172" s="41"/>
      <c r="C172" s="497"/>
    </row>
    <row r="173" spans="2:11" ht="16" x14ac:dyDescent="0.2">
      <c r="B173" s="41"/>
      <c r="C173" s="497"/>
    </row>
    <row r="174" spans="2:11" ht="16" x14ac:dyDescent="0.2">
      <c r="B174" s="41"/>
      <c r="C174" s="497"/>
    </row>
    <row r="175" spans="2:11" ht="16" x14ac:dyDescent="0.2">
      <c r="B175" s="41"/>
      <c r="C175" s="497"/>
      <c r="K175" s="498"/>
    </row>
    <row r="176" spans="2:11" ht="16" x14ac:dyDescent="0.2">
      <c r="B176" s="41"/>
      <c r="C176" s="497"/>
      <c r="K176" s="498"/>
    </row>
    <row r="177" spans="1:43" ht="16" x14ac:dyDescent="0.2">
      <c r="B177" s="41"/>
      <c r="C177" s="497"/>
      <c r="K177" s="498"/>
    </row>
    <row r="178" spans="1:43" ht="16" x14ac:dyDescent="0.2">
      <c r="B178" s="41"/>
      <c r="C178" s="497"/>
      <c r="L178" s="285"/>
    </row>
    <row r="179" spans="1:43" ht="16" x14ac:dyDescent="0.2">
      <c r="B179" s="41"/>
      <c r="C179" s="497"/>
      <c r="K179" s="498"/>
    </row>
    <row r="180" spans="1:43" ht="16" x14ac:dyDescent="0.2">
      <c r="B180" s="41"/>
      <c r="C180" s="497"/>
      <c r="K180" s="498"/>
    </row>
    <row r="181" spans="1:43" ht="16" x14ac:dyDescent="0.2">
      <c r="B181" s="41"/>
      <c r="C181" s="497"/>
      <c r="K181" s="498"/>
    </row>
    <row r="182" spans="1:43" s="144" customFormat="1" ht="16" x14ac:dyDescent="0.2">
      <c r="A182" s="97"/>
      <c r="B182" s="41"/>
      <c r="C182" s="497"/>
      <c r="D182" s="278"/>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row>
    <row r="183" spans="1:43" ht="16" x14ac:dyDescent="0.2">
      <c r="B183" s="41"/>
      <c r="C183" s="497"/>
    </row>
    <row r="184" spans="1:43" ht="16" x14ac:dyDescent="0.2">
      <c r="B184" s="41"/>
      <c r="C184" s="497"/>
    </row>
    <row r="185" spans="1:43" ht="16" x14ac:dyDescent="0.2">
      <c r="B185" s="41"/>
      <c r="C185" s="497"/>
    </row>
    <row r="186" spans="1:43" ht="16" x14ac:dyDescent="0.2">
      <c r="B186" s="41"/>
      <c r="C186" s="497"/>
    </row>
    <row r="187" spans="1:43" ht="16" x14ac:dyDescent="0.2">
      <c r="B187" s="41"/>
      <c r="C187" s="497"/>
      <c r="K187" s="498"/>
    </row>
    <row r="188" spans="1:43" ht="16" x14ac:dyDescent="0.2">
      <c r="B188" s="41"/>
      <c r="C188" s="497"/>
      <c r="K188" s="498"/>
    </row>
    <row r="189" spans="1:43" ht="16" x14ac:dyDescent="0.2">
      <c r="B189" s="41"/>
      <c r="C189" s="497"/>
      <c r="K189" s="498"/>
    </row>
    <row r="190" spans="1:43" ht="16" x14ac:dyDescent="0.2">
      <c r="B190" s="41"/>
      <c r="C190" s="497"/>
      <c r="K190" s="498"/>
    </row>
    <row r="191" spans="1:43" ht="16" x14ac:dyDescent="0.2">
      <c r="B191" s="41"/>
      <c r="C191" s="497"/>
      <c r="K191" s="498"/>
    </row>
    <row r="192" spans="1:43" ht="16" x14ac:dyDescent="0.2">
      <c r="B192" s="41"/>
      <c r="C192" s="497"/>
      <c r="K192" s="498"/>
    </row>
    <row r="193" spans="1:11" ht="16" x14ac:dyDescent="0.2">
      <c r="A193" s="97"/>
      <c r="B193" s="41"/>
      <c r="C193" s="497"/>
    </row>
    <row r="194" spans="1:11" ht="16" x14ac:dyDescent="0.2">
      <c r="B194" s="41"/>
      <c r="C194" s="497"/>
      <c r="K194" s="498"/>
    </row>
    <row r="195" spans="1:11" ht="16" x14ac:dyDescent="0.2">
      <c r="B195" s="41"/>
      <c r="C195" s="497"/>
    </row>
    <row r="196" spans="1:11" ht="16" x14ac:dyDescent="0.2">
      <c r="B196" s="41"/>
      <c r="C196" s="497"/>
    </row>
    <row r="197" spans="1:11" ht="16" x14ac:dyDescent="0.2">
      <c r="B197" s="41"/>
      <c r="C197" s="497"/>
    </row>
    <row r="198" spans="1:11" ht="16" x14ac:dyDescent="0.2">
      <c r="B198" s="41"/>
      <c r="C198" s="497"/>
      <c r="K198" s="498"/>
    </row>
    <row r="199" spans="1:11" ht="16" x14ac:dyDescent="0.2">
      <c r="B199" s="41"/>
      <c r="C199" s="497"/>
      <c r="K199" s="498"/>
    </row>
    <row r="200" spans="1:11" ht="16" x14ac:dyDescent="0.2">
      <c r="B200" s="41"/>
      <c r="C200" s="497"/>
    </row>
    <row r="201" spans="1:11" ht="16" x14ac:dyDescent="0.2">
      <c r="B201" s="41"/>
      <c r="C201" s="497"/>
    </row>
    <row r="202" spans="1:11" ht="16" x14ac:dyDescent="0.2">
      <c r="B202" s="41"/>
      <c r="C202" s="497"/>
    </row>
    <row r="203" spans="1:11" ht="16" x14ac:dyDescent="0.2">
      <c r="B203" s="41" t="e">
        <f>IF(H203="credit",#REF!, (#REF!* -1))</f>
        <v>#REF!</v>
      </c>
      <c r="C203" s="497" t="e">
        <f t="shared" ref="C203:C266" si="0">C202+B203</f>
        <v>#REF!</v>
      </c>
    </row>
    <row r="204" spans="1:11" ht="16" x14ac:dyDescent="0.2">
      <c r="B204" s="41" t="e">
        <f>IF(H204="credit",#REF!, (#REF!* -1))</f>
        <v>#REF!</v>
      </c>
      <c r="C204" s="497" t="e">
        <f t="shared" si="0"/>
        <v>#REF!</v>
      </c>
    </row>
    <row r="205" spans="1:11" ht="16" x14ac:dyDescent="0.2">
      <c r="B205" s="41" t="e">
        <f>IF(H205="credit",#REF!, (#REF!* -1))</f>
        <v>#REF!</v>
      </c>
      <c r="C205" s="497" t="e">
        <f t="shared" si="0"/>
        <v>#REF!</v>
      </c>
    </row>
    <row r="206" spans="1:11" ht="16" x14ac:dyDescent="0.2">
      <c r="B206" s="41" t="e">
        <f>IF(H206="credit",#REF!, (#REF!* -1))</f>
        <v>#REF!</v>
      </c>
      <c r="C206" s="497" t="e">
        <f t="shared" si="0"/>
        <v>#REF!</v>
      </c>
    </row>
    <row r="207" spans="1:11" ht="16" x14ac:dyDescent="0.2">
      <c r="B207" s="41" t="e">
        <f>IF(H207="credit",#REF!, (#REF!* -1))</f>
        <v>#REF!</v>
      </c>
      <c r="C207" s="497" t="e">
        <f t="shared" si="0"/>
        <v>#REF!</v>
      </c>
    </row>
    <row r="208" spans="1:11" ht="16" x14ac:dyDescent="0.2">
      <c r="B208" s="41" t="e">
        <f>IF(H208="credit",#REF!, (#REF!* -1))</f>
        <v>#REF!</v>
      </c>
      <c r="C208" s="497" t="e">
        <f t="shared" si="0"/>
        <v>#REF!</v>
      </c>
    </row>
    <row r="209" spans="1:12" ht="16" x14ac:dyDescent="0.2">
      <c r="B209" s="41" t="e">
        <f>IF(H209="credit",#REF!, (#REF!* -1))</f>
        <v>#REF!</v>
      </c>
      <c r="C209" s="497" t="e">
        <f t="shared" si="0"/>
        <v>#REF!</v>
      </c>
    </row>
    <row r="210" spans="1:12" s="143" customFormat="1" ht="16" x14ac:dyDescent="0.2">
      <c r="A210" s="40"/>
      <c r="B210" s="41" t="e">
        <f>IF(H210="credit",#REF!, (#REF!* -1))</f>
        <v>#REF!</v>
      </c>
      <c r="C210" s="497" t="e">
        <f t="shared" si="0"/>
        <v>#REF!</v>
      </c>
      <c r="D210" s="139"/>
      <c r="E210"/>
      <c r="F210"/>
      <c r="G210"/>
      <c r="H210"/>
      <c r="I210"/>
      <c r="J210"/>
      <c r="K210"/>
      <c r="L210"/>
    </row>
    <row r="211" spans="1:12" ht="16" x14ac:dyDescent="0.2">
      <c r="B211" s="41" t="e">
        <f>IF(H211="credit",#REF!, (#REF!* -1))</f>
        <v>#REF!</v>
      </c>
      <c r="C211" s="497" t="e">
        <f t="shared" si="0"/>
        <v>#REF!</v>
      </c>
    </row>
    <row r="212" spans="1:12" ht="16" x14ac:dyDescent="0.2">
      <c r="B212" s="41" t="e">
        <f>IF(H212="credit",#REF!, (#REF!* -1))</f>
        <v>#REF!</v>
      </c>
      <c r="C212" s="497" t="e">
        <f t="shared" si="0"/>
        <v>#REF!</v>
      </c>
    </row>
    <row r="213" spans="1:12" ht="16" x14ac:dyDescent="0.2">
      <c r="B213" s="41" t="e">
        <f>IF(H213="credit",#REF!, (#REF!* -1))</f>
        <v>#REF!</v>
      </c>
      <c r="C213" s="497" t="e">
        <f t="shared" si="0"/>
        <v>#REF!</v>
      </c>
    </row>
    <row r="214" spans="1:12" ht="16" x14ac:dyDescent="0.2">
      <c r="B214" s="41" t="e">
        <f>IF(H214="credit",#REF!, (#REF!* -1))</f>
        <v>#REF!</v>
      </c>
      <c r="C214" s="497" t="e">
        <f t="shared" si="0"/>
        <v>#REF!</v>
      </c>
    </row>
    <row r="215" spans="1:12" ht="16" x14ac:dyDescent="0.2">
      <c r="B215" s="41" t="e">
        <f>IF(H215="credit",#REF!, (#REF!* -1))</f>
        <v>#REF!</v>
      </c>
      <c r="C215" s="497" t="e">
        <f t="shared" si="0"/>
        <v>#REF!</v>
      </c>
    </row>
    <row r="216" spans="1:12" ht="16" x14ac:dyDescent="0.2">
      <c r="B216" s="41" t="e">
        <f>IF(H216="credit",#REF!, (#REF!* -1))</f>
        <v>#REF!</v>
      </c>
      <c r="C216" s="497" t="e">
        <f t="shared" si="0"/>
        <v>#REF!</v>
      </c>
    </row>
    <row r="217" spans="1:12" ht="16" x14ac:dyDescent="0.2">
      <c r="B217" s="41" t="e">
        <f>IF(H217="credit",#REF!, (#REF!* -1))</f>
        <v>#REF!</v>
      </c>
      <c r="C217" s="497" t="e">
        <f t="shared" si="0"/>
        <v>#REF!</v>
      </c>
    </row>
    <row r="218" spans="1:12" ht="16" x14ac:dyDescent="0.2">
      <c r="B218" s="41" t="e">
        <f>IF(H218="credit",#REF!, (#REF!* -1))</f>
        <v>#REF!</v>
      </c>
      <c r="C218" s="497" t="e">
        <f t="shared" si="0"/>
        <v>#REF!</v>
      </c>
    </row>
    <row r="219" spans="1:12" ht="16" x14ac:dyDescent="0.2">
      <c r="B219" s="41" t="e">
        <f>IF(H219="credit",#REF!, (#REF!* -1))</f>
        <v>#REF!</v>
      </c>
      <c r="C219" s="497" t="e">
        <f t="shared" si="0"/>
        <v>#REF!</v>
      </c>
    </row>
    <row r="220" spans="1:12" ht="16" x14ac:dyDescent="0.2">
      <c r="B220" s="41" t="e">
        <f>IF(H220="credit",#REF!, (#REF!* -1))</f>
        <v>#REF!</v>
      </c>
      <c r="C220" s="497" t="e">
        <f t="shared" si="0"/>
        <v>#REF!</v>
      </c>
    </row>
    <row r="221" spans="1:12" ht="16" x14ac:dyDescent="0.2">
      <c r="B221" s="41" t="e">
        <f>IF(H221="credit",#REF!, (#REF!* -1))</f>
        <v>#REF!</v>
      </c>
      <c r="C221" s="497" t="e">
        <f t="shared" si="0"/>
        <v>#REF!</v>
      </c>
    </row>
    <row r="222" spans="1:12" ht="16" x14ac:dyDescent="0.2">
      <c r="B222" s="41" t="e">
        <f>IF(H222="credit",#REF!, (#REF!* -1))</f>
        <v>#REF!</v>
      </c>
      <c r="C222" s="497" t="e">
        <f t="shared" si="0"/>
        <v>#REF!</v>
      </c>
    </row>
    <row r="223" spans="1:12" ht="16" x14ac:dyDescent="0.2">
      <c r="B223" s="41" t="e">
        <f>IF(H223="credit",#REF!, (#REF!* -1))</f>
        <v>#REF!</v>
      </c>
      <c r="C223" s="497" t="e">
        <f t="shared" si="0"/>
        <v>#REF!</v>
      </c>
    </row>
    <row r="224" spans="1:12" ht="16" x14ac:dyDescent="0.2">
      <c r="B224" s="41" t="e">
        <f>IF(H224="credit",#REF!, (#REF!* -1))</f>
        <v>#REF!</v>
      </c>
      <c r="C224" s="497" t="e">
        <f t="shared" si="0"/>
        <v>#REF!</v>
      </c>
    </row>
    <row r="225" spans="2:3" ht="16" x14ac:dyDescent="0.2">
      <c r="B225" s="41" t="e">
        <f>IF(H225="credit",#REF!, (#REF!* -1))</f>
        <v>#REF!</v>
      </c>
      <c r="C225" s="497" t="e">
        <f t="shared" si="0"/>
        <v>#REF!</v>
      </c>
    </row>
    <row r="226" spans="2:3" ht="16" x14ac:dyDescent="0.2">
      <c r="B226" s="41" t="e">
        <f>IF(H226="credit",#REF!, (#REF!* -1))</f>
        <v>#REF!</v>
      </c>
      <c r="C226" s="497" t="e">
        <f t="shared" si="0"/>
        <v>#REF!</v>
      </c>
    </row>
    <row r="227" spans="2:3" ht="16" x14ac:dyDescent="0.2">
      <c r="B227" s="41" t="e">
        <f>IF(H227="credit",#REF!, (#REF!* -1))</f>
        <v>#REF!</v>
      </c>
      <c r="C227" s="497" t="e">
        <f t="shared" si="0"/>
        <v>#REF!</v>
      </c>
    </row>
    <row r="228" spans="2:3" ht="16" x14ac:dyDescent="0.2">
      <c r="B228" s="41" t="e">
        <f>IF(H228="credit",#REF!, (#REF!* -1))</f>
        <v>#REF!</v>
      </c>
      <c r="C228" s="497" t="e">
        <f t="shared" si="0"/>
        <v>#REF!</v>
      </c>
    </row>
    <row r="229" spans="2:3" ht="16" x14ac:dyDescent="0.2">
      <c r="B229" s="41" t="e">
        <f>IF(H229="credit",#REF!, (#REF!* -1))</f>
        <v>#REF!</v>
      </c>
      <c r="C229" s="497" t="e">
        <f t="shared" si="0"/>
        <v>#REF!</v>
      </c>
    </row>
    <row r="230" spans="2:3" ht="16" x14ac:dyDescent="0.2">
      <c r="B230" s="41" t="e">
        <f>IF(H230="credit",#REF!, (#REF!* -1))</f>
        <v>#REF!</v>
      </c>
      <c r="C230" s="497" t="e">
        <f t="shared" si="0"/>
        <v>#REF!</v>
      </c>
    </row>
    <row r="231" spans="2:3" ht="16" x14ac:dyDescent="0.2">
      <c r="B231" s="41" t="e">
        <f>IF(H231="credit",#REF!, (#REF!* -1))</f>
        <v>#REF!</v>
      </c>
      <c r="C231" s="497" t="e">
        <f t="shared" si="0"/>
        <v>#REF!</v>
      </c>
    </row>
    <row r="232" spans="2:3" ht="16" x14ac:dyDescent="0.2">
      <c r="B232" s="41" t="e">
        <f>IF(H232="credit",#REF!, (#REF!* -1))</f>
        <v>#REF!</v>
      </c>
      <c r="C232" s="497" t="e">
        <f t="shared" si="0"/>
        <v>#REF!</v>
      </c>
    </row>
    <row r="233" spans="2:3" ht="16" x14ac:dyDescent="0.2">
      <c r="B233" s="41" t="e">
        <f>IF(H233="credit",#REF!, (#REF!* -1))</f>
        <v>#REF!</v>
      </c>
      <c r="C233" s="497" t="e">
        <f t="shared" si="0"/>
        <v>#REF!</v>
      </c>
    </row>
    <row r="234" spans="2:3" ht="16" x14ac:dyDescent="0.2">
      <c r="B234" s="41" t="e">
        <f>IF(H234="credit",#REF!, (#REF!* -1))</f>
        <v>#REF!</v>
      </c>
      <c r="C234" s="497" t="e">
        <f t="shared" si="0"/>
        <v>#REF!</v>
      </c>
    </row>
    <row r="235" spans="2:3" ht="16" x14ac:dyDescent="0.2">
      <c r="B235" s="41" t="e">
        <f>IF(H235="credit",#REF!, (#REF!* -1))</f>
        <v>#REF!</v>
      </c>
      <c r="C235" s="497" t="e">
        <f t="shared" si="0"/>
        <v>#REF!</v>
      </c>
    </row>
    <row r="236" spans="2:3" ht="16" x14ac:dyDescent="0.2">
      <c r="B236" s="41" t="e">
        <f>IF(H236="credit",#REF!, (#REF!* -1))</f>
        <v>#REF!</v>
      </c>
      <c r="C236" s="497" t="e">
        <f t="shared" si="0"/>
        <v>#REF!</v>
      </c>
    </row>
    <row r="237" spans="2:3" ht="16" x14ac:dyDescent="0.2">
      <c r="B237" s="41" t="e">
        <f>IF(H237="credit",#REF!, (#REF!* -1))</f>
        <v>#REF!</v>
      </c>
      <c r="C237" s="497" t="e">
        <f t="shared" si="0"/>
        <v>#REF!</v>
      </c>
    </row>
    <row r="238" spans="2:3" ht="16" x14ac:dyDescent="0.2">
      <c r="B238" s="41" t="e">
        <f>IF(H238="credit",#REF!, (#REF!* -1))</f>
        <v>#REF!</v>
      </c>
      <c r="C238" s="497" t="e">
        <f t="shared" si="0"/>
        <v>#REF!</v>
      </c>
    </row>
    <row r="239" spans="2:3" ht="16" x14ac:dyDescent="0.2">
      <c r="B239" s="41" t="e">
        <f>IF(H239="credit",#REF!, (#REF!* -1))</f>
        <v>#REF!</v>
      </c>
      <c r="C239" s="497" t="e">
        <f t="shared" si="0"/>
        <v>#REF!</v>
      </c>
    </row>
    <row r="240" spans="2:3" ht="16" x14ac:dyDescent="0.2">
      <c r="B240" s="41" t="e">
        <f>IF(H240="credit",#REF!, (#REF!* -1))</f>
        <v>#REF!</v>
      </c>
      <c r="C240" s="497" t="e">
        <f t="shared" si="0"/>
        <v>#REF!</v>
      </c>
    </row>
    <row r="241" spans="2:3" ht="16" x14ac:dyDescent="0.2">
      <c r="B241" s="41" t="e">
        <f>IF(H241="credit",#REF!, (#REF!* -1))</f>
        <v>#REF!</v>
      </c>
      <c r="C241" s="497" t="e">
        <f t="shared" si="0"/>
        <v>#REF!</v>
      </c>
    </row>
    <row r="242" spans="2:3" ht="16" x14ac:dyDescent="0.2">
      <c r="B242" s="41" t="e">
        <f>IF(H242="credit",#REF!, (#REF!* -1))</f>
        <v>#REF!</v>
      </c>
      <c r="C242" s="497" t="e">
        <f t="shared" si="0"/>
        <v>#REF!</v>
      </c>
    </row>
    <row r="243" spans="2:3" ht="16" x14ac:dyDescent="0.2">
      <c r="B243" s="41" t="e">
        <f>IF(H243="credit",#REF!, (#REF!* -1))</f>
        <v>#REF!</v>
      </c>
      <c r="C243" s="497" t="e">
        <f t="shared" si="0"/>
        <v>#REF!</v>
      </c>
    </row>
    <row r="244" spans="2:3" ht="16" x14ac:dyDescent="0.2">
      <c r="B244" s="41" t="e">
        <f>IF(H244="credit",#REF!, (#REF!* -1))</f>
        <v>#REF!</v>
      </c>
      <c r="C244" s="497" t="e">
        <f t="shared" si="0"/>
        <v>#REF!</v>
      </c>
    </row>
    <row r="245" spans="2:3" ht="16" x14ac:dyDescent="0.2">
      <c r="B245" s="41" t="e">
        <f>IF(H245="credit",#REF!, (#REF!* -1))</f>
        <v>#REF!</v>
      </c>
      <c r="C245" s="497" t="e">
        <f t="shared" si="0"/>
        <v>#REF!</v>
      </c>
    </row>
    <row r="246" spans="2:3" ht="16" x14ac:dyDescent="0.2">
      <c r="B246" s="41" t="e">
        <f>IF(H246="credit",#REF!, (#REF!* -1))</f>
        <v>#REF!</v>
      </c>
      <c r="C246" s="497" t="e">
        <f t="shared" si="0"/>
        <v>#REF!</v>
      </c>
    </row>
    <row r="247" spans="2:3" ht="16" x14ac:dyDescent="0.2">
      <c r="B247" s="41" t="e">
        <f>IF(H247="credit",#REF!, (#REF!* -1))</f>
        <v>#REF!</v>
      </c>
      <c r="C247" s="497" t="e">
        <f t="shared" si="0"/>
        <v>#REF!</v>
      </c>
    </row>
    <row r="248" spans="2:3" ht="16" x14ac:dyDescent="0.2">
      <c r="B248" s="41" t="e">
        <f>IF(H248="credit",#REF!, (#REF!* -1))</f>
        <v>#REF!</v>
      </c>
      <c r="C248" s="497" t="e">
        <f t="shared" si="0"/>
        <v>#REF!</v>
      </c>
    </row>
    <row r="249" spans="2:3" ht="16" x14ac:dyDescent="0.2">
      <c r="B249" s="41" t="e">
        <f>IF(H249="credit",#REF!, (#REF!* -1))</f>
        <v>#REF!</v>
      </c>
      <c r="C249" s="497" t="e">
        <f t="shared" si="0"/>
        <v>#REF!</v>
      </c>
    </row>
    <row r="250" spans="2:3" ht="16" x14ac:dyDescent="0.2">
      <c r="B250" s="41" t="e">
        <f>IF(H250="credit",#REF!, (#REF!* -1))</f>
        <v>#REF!</v>
      </c>
      <c r="C250" s="497" t="e">
        <f t="shared" si="0"/>
        <v>#REF!</v>
      </c>
    </row>
    <row r="251" spans="2:3" ht="16" x14ac:dyDescent="0.2">
      <c r="B251" s="41" t="e">
        <f>IF(H251="credit",#REF!, (#REF!* -1))</f>
        <v>#REF!</v>
      </c>
      <c r="C251" s="497" t="e">
        <f t="shared" si="0"/>
        <v>#REF!</v>
      </c>
    </row>
    <row r="252" spans="2:3" ht="16" x14ac:dyDescent="0.2">
      <c r="B252" s="41" t="e">
        <f>IF(H252="credit",#REF!, (#REF!* -1))</f>
        <v>#REF!</v>
      </c>
      <c r="C252" s="497" t="e">
        <f t="shared" si="0"/>
        <v>#REF!</v>
      </c>
    </row>
    <row r="253" spans="2:3" ht="16" x14ac:dyDescent="0.2">
      <c r="B253" s="41" t="e">
        <f>IF(H253="credit",#REF!, (#REF!* -1))</f>
        <v>#REF!</v>
      </c>
      <c r="C253" s="497" t="e">
        <f t="shared" si="0"/>
        <v>#REF!</v>
      </c>
    </row>
    <row r="254" spans="2:3" ht="16" x14ac:dyDescent="0.2">
      <c r="B254" s="41" t="e">
        <f>IF(H254="credit",#REF!, (#REF!* -1))</f>
        <v>#REF!</v>
      </c>
      <c r="C254" s="497" t="e">
        <f t="shared" si="0"/>
        <v>#REF!</v>
      </c>
    </row>
    <row r="255" spans="2:3" ht="16" x14ac:dyDescent="0.2">
      <c r="B255" s="41" t="e">
        <f>IF(H255="credit",#REF!, (#REF!* -1))</f>
        <v>#REF!</v>
      </c>
      <c r="C255" s="497" t="e">
        <f t="shared" si="0"/>
        <v>#REF!</v>
      </c>
    </row>
    <row r="256" spans="2:3" ht="16" x14ac:dyDescent="0.2">
      <c r="B256" s="41" t="e">
        <f>IF(H256="credit",#REF!, (#REF!* -1))</f>
        <v>#REF!</v>
      </c>
      <c r="C256" s="497" t="e">
        <f t="shared" si="0"/>
        <v>#REF!</v>
      </c>
    </row>
    <row r="257" spans="2:3" ht="16" x14ac:dyDescent="0.2">
      <c r="B257" s="41" t="e">
        <f>IF(H257="credit",#REF!, (#REF!* -1))</f>
        <v>#REF!</v>
      </c>
      <c r="C257" s="497" t="e">
        <f t="shared" si="0"/>
        <v>#REF!</v>
      </c>
    </row>
    <row r="258" spans="2:3" ht="16" x14ac:dyDescent="0.2">
      <c r="B258" s="41" t="e">
        <f>IF(H258="credit",#REF!, (#REF!* -1))</f>
        <v>#REF!</v>
      </c>
      <c r="C258" s="497" t="e">
        <f t="shared" si="0"/>
        <v>#REF!</v>
      </c>
    </row>
    <row r="259" spans="2:3" ht="16" x14ac:dyDescent="0.2">
      <c r="B259" s="41" t="e">
        <f>IF(H259="credit",#REF!, (#REF!* -1))</f>
        <v>#REF!</v>
      </c>
      <c r="C259" s="497" t="e">
        <f t="shared" si="0"/>
        <v>#REF!</v>
      </c>
    </row>
    <row r="260" spans="2:3" ht="16" x14ac:dyDescent="0.2">
      <c r="B260" s="41" t="e">
        <f>IF(H260="credit",#REF!, (#REF!* -1))</f>
        <v>#REF!</v>
      </c>
      <c r="C260" s="497" t="e">
        <f t="shared" si="0"/>
        <v>#REF!</v>
      </c>
    </row>
    <row r="261" spans="2:3" ht="16" x14ac:dyDescent="0.2">
      <c r="B261" s="41" t="e">
        <f>IF(H261="credit",#REF!, (#REF!* -1))</f>
        <v>#REF!</v>
      </c>
      <c r="C261" s="497" t="e">
        <f t="shared" si="0"/>
        <v>#REF!</v>
      </c>
    </row>
    <row r="262" spans="2:3" ht="16" x14ac:dyDescent="0.2">
      <c r="B262" s="41" t="e">
        <f>IF(H262="credit",#REF!, (#REF!* -1))</f>
        <v>#REF!</v>
      </c>
      <c r="C262" s="497" t="e">
        <f t="shared" si="0"/>
        <v>#REF!</v>
      </c>
    </row>
    <row r="263" spans="2:3" ht="16" x14ac:dyDescent="0.2">
      <c r="B263" s="41" t="e">
        <f>IF(H263="credit",#REF!, (#REF!* -1))</f>
        <v>#REF!</v>
      </c>
      <c r="C263" s="497" t="e">
        <f t="shared" si="0"/>
        <v>#REF!</v>
      </c>
    </row>
    <row r="264" spans="2:3" ht="16" x14ac:dyDescent="0.2">
      <c r="B264" s="41" t="e">
        <f>IF(H264="credit",#REF!, (#REF!* -1))</f>
        <v>#REF!</v>
      </c>
      <c r="C264" s="497" t="e">
        <f t="shared" si="0"/>
        <v>#REF!</v>
      </c>
    </row>
    <row r="265" spans="2:3" ht="16" x14ac:dyDescent="0.2">
      <c r="B265" s="41" t="e">
        <f>IF(H265="credit",#REF!, (#REF!* -1))</f>
        <v>#REF!</v>
      </c>
      <c r="C265" s="497" t="e">
        <f t="shared" si="0"/>
        <v>#REF!</v>
      </c>
    </row>
    <row r="266" spans="2:3" ht="16" x14ac:dyDescent="0.2">
      <c r="B266" s="41" t="e">
        <f>IF(H266="credit",#REF!, (#REF!* -1))</f>
        <v>#REF!</v>
      </c>
      <c r="C266" s="497" t="e">
        <f t="shared" si="0"/>
        <v>#REF!</v>
      </c>
    </row>
    <row r="267" spans="2:3" ht="16" x14ac:dyDescent="0.2">
      <c r="B267" s="41" t="e">
        <f>IF(H267="credit",#REF!, (#REF!* -1))</f>
        <v>#REF!</v>
      </c>
      <c r="C267" s="497" t="e">
        <f t="shared" ref="C267:C330" si="1">C266+B267</f>
        <v>#REF!</v>
      </c>
    </row>
    <row r="268" spans="2:3" ht="16" x14ac:dyDescent="0.2">
      <c r="B268" s="41" t="e">
        <f>IF(H268="credit",#REF!, (#REF!* -1))</f>
        <v>#REF!</v>
      </c>
      <c r="C268" s="497" t="e">
        <f t="shared" si="1"/>
        <v>#REF!</v>
      </c>
    </row>
    <row r="269" spans="2:3" ht="16" x14ac:dyDescent="0.2">
      <c r="B269" s="41" t="e">
        <f>IF(H269="credit",#REF!, (#REF!* -1))</f>
        <v>#REF!</v>
      </c>
      <c r="C269" s="497" t="e">
        <f t="shared" si="1"/>
        <v>#REF!</v>
      </c>
    </row>
    <row r="270" spans="2:3" ht="16" x14ac:dyDescent="0.2">
      <c r="B270" s="41" t="e">
        <f>IF(H270="credit",#REF!, (#REF!* -1))</f>
        <v>#REF!</v>
      </c>
      <c r="C270" s="497" t="e">
        <f t="shared" si="1"/>
        <v>#REF!</v>
      </c>
    </row>
    <row r="271" spans="2:3" ht="16" x14ac:dyDescent="0.2">
      <c r="B271" s="41" t="e">
        <f>IF(H271="credit",#REF!, (#REF!* -1))</f>
        <v>#REF!</v>
      </c>
      <c r="C271" s="497" t="e">
        <f t="shared" si="1"/>
        <v>#REF!</v>
      </c>
    </row>
    <row r="272" spans="2:3" ht="16" x14ac:dyDescent="0.2">
      <c r="B272" s="41" t="e">
        <f>IF(H272="credit",#REF!, (#REF!* -1))</f>
        <v>#REF!</v>
      </c>
      <c r="C272" s="497" t="e">
        <f t="shared" si="1"/>
        <v>#REF!</v>
      </c>
    </row>
    <row r="273" spans="2:3" ht="16" x14ac:dyDescent="0.2">
      <c r="B273" s="41" t="e">
        <f>IF(H273="credit",#REF!, (#REF!* -1))</f>
        <v>#REF!</v>
      </c>
      <c r="C273" s="497" t="e">
        <f t="shared" si="1"/>
        <v>#REF!</v>
      </c>
    </row>
    <row r="274" spans="2:3" ht="16" x14ac:dyDescent="0.2">
      <c r="B274" s="41" t="e">
        <f>IF(H274="credit",#REF!, (#REF!* -1))</f>
        <v>#REF!</v>
      </c>
      <c r="C274" s="497" t="e">
        <f t="shared" si="1"/>
        <v>#REF!</v>
      </c>
    </row>
    <row r="275" spans="2:3" ht="16" x14ac:dyDescent="0.2">
      <c r="B275" s="41" t="e">
        <f>IF(H275="credit",#REF!, (#REF!* -1))</f>
        <v>#REF!</v>
      </c>
      <c r="C275" s="497" t="e">
        <f t="shared" si="1"/>
        <v>#REF!</v>
      </c>
    </row>
    <row r="276" spans="2:3" ht="16" x14ac:dyDescent="0.2">
      <c r="B276" s="41" t="e">
        <f>IF(H276="credit",#REF!, (#REF!* -1))</f>
        <v>#REF!</v>
      </c>
      <c r="C276" s="497" t="e">
        <f t="shared" si="1"/>
        <v>#REF!</v>
      </c>
    </row>
    <row r="277" spans="2:3" ht="16" x14ac:dyDescent="0.2">
      <c r="B277" s="41" t="e">
        <f>IF(H277="credit",#REF!, (#REF!* -1))</f>
        <v>#REF!</v>
      </c>
      <c r="C277" s="497" t="e">
        <f t="shared" si="1"/>
        <v>#REF!</v>
      </c>
    </row>
    <row r="278" spans="2:3" ht="16" x14ac:dyDescent="0.2">
      <c r="B278" s="41" t="e">
        <f>IF(H278="credit",#REF!, (#REF!* -1))</f>
        <v>#REF!</v>
      </c>
      <c r="C278" s="497" t="e">
        <f t="shared" si="1"/>
        <v>#REF!</v>
      </c>
    </row>
    <row r="279" spans="2:3" ht="16" x14ac:dyDescent="0.2">
      <c r="B279" s="41" t="e">
        <f>IF(H279="credit",#REF!, (#REF!* -1))</f>
        <v>#REF!</v>
      </c>
      <c r="C279" s="497" t="e">
        <f t="shared" si="1"/>
        <v>#REF!</v>
      </c>
    </row>
    <row r="280" spans="2:3" ht="16" x14ac:dyDescent="0.2">
      <c r="B280" s="41" t="e">
        <f>IF(H280="credit",#REF!, (#REF!* -1))</f>
        <v>#REF!</v>
      </c>
      <c r="C280" s="497" t="e">
        <f t="shared" si="1"/>
        <v>#REF!</v>
      </c>
    </row>
    <row r="281" spans="2:3" ht="16" x14ac:dyDescent="0.2">
      <c r="B281" s="41" t="e">
        <f>IF(H281="credit",#REF!, (#REF!* -1))</f>
        <v>#REF!</v>
      </c>
      <c r="C281" s="497" t="e">
        <f t="shared" si="1"/>
        <v>#REF!</v>
      </c>
    </row>
    <row r="282" spans="2:3" ht="16" x14ac:dyDescent="0.2">
      <c r="B282" s="41" t="e">
        <f>IF(H282="credit",#REF!, (#REF!* -1))</f>
        <v>#REF!</v>
      </c>
      <c r="C282" s="497" t="e">
        <f t="shared" si="1"/>
        <v>#REF!</v>
      </c>
    </row>
    <row r="283" spans="2:3" ht="16" x14ac:dyDescent="0.2">
      <c r="B283" s="41" t="e">
        <f>IF(H283="credit",#REF!, (#REF!* -1))</f>
        <v>#REF!</v>
      </c>
      <c r="C283" s="497" t="e">
        <f t="shared" si="1"/>
        <v>#REF!</v>
      </c>
    </row>
    <row r="284" spans="2:3" ht="16" x14ac:dyDescent="0.2">
      <c r="B284" s="41" t="e">
        <f>IF(H284="credit",#REF!, (#REF!* -1))</f>
        <v>#REF!</v>
      </c>
      <c r="C284" s="497" t="e">
        <f t="shared" si="1"/>
        <v>#REF!</v>
      </c>
    </row>
    <row r="285" spans="2:3" ht="16" x14ac:dyDescent="0.2">
      <c r="B285" s="41" t="e">
        <f>IF(H285="credit",#REF!, (#REF!* -1))</f>
        <v>#REF!</v>
      </c>
      <c r="C285" s="497" t="e">
        <f t="shared" si="1"/>
        <v>#REF!</v>
      </c>
    </row>
    <row r="286" spans="2:3" ht="16" x14ac:dyDescent="0.2">
      <c r="B286" s="41" t="e">
        <f>IF(H286="credit",#REF!, (#REF!* -1))</f>
        <v>#REF!</v>
      </c>
      <c r="C286" s="497" t="e">
        <f t="shared" si="1"/>
        <v>#REF!</v>
      </c>
    </row>
    <row r="287" spans="2:3" ht="16" x14ac:dyDescent="0.2">
      <c r="B287" s="41" t="e">
        <f>IF(H287="credit",#REF!, (#REF!* -1))</f>
        <v>#REF!</v>
      </c>
      <c r="C287" s="497" t="e">
        <f t="shared" si="1"/>
        <v>#REF!</v>
      </c>
    </row>
    <row r="288" spans="2:3" ht="16" x14ac:dyDescent="0.2">
      <c r="B288" s="41" t="e">
        <f>IF(H288="credit",#REF!, (#REF!* -1))</f>
        <v>#REF!</v>
      </c>
      <c r="C288" s="497" t="e">
        <f t="shared" si="1"/>
        <v>#REF!</v>
      </c>
    </row>
    <row r="289" spans="2:3" ht="16" x14ac:dyDescent="0.2">
      <c r="B289" s="41" t="e">
        <f>IF(H289="credit",#REF!, (#REF!* -1))</f>
        <v>#REF!</v>
      </c>
      <c r="C289" s="497" t="e">
        <f t="shared" si="1"/>
        <v>#REF!</v>
      </c>
    </row>
    <row r="290" spans="2:3" ht="16" x14ac:dyDescent="0.2">
      <c r="B290" s="41" t="e">
        <f>IF(H290="credit",#REF!, (#REF!* -1))</f>
        <v>#REF!</v>
      </c>
      <c r="C290" s="497" t="e">
        <f t="shared" si="1"/>
        <v>#REF!</v>
      </c>
    </row>
    <row r="291" spans="2:3" ht="16" x14ac:dyDescent="0.2">
      <c r="B291" s="41" t="e">
        <f>IF(H291="credit",#REF!, (#REF!* -1))</f>
        <v>#REF!</v>
      </c>
      <c r="C291" s="497" t="e">
        <f t="shared" si="1"/>
        <v>#REF!</v>
      </c>
    </row>
    <row r="292" spans="2:3" ht="16" x14ac:dyDescent="0.2">
      <c r="B292" s="41" t="e">
        <f>IF(H292="credit",#REF!, (#REF!* -1))</f>
        <v>#REF!</v>
      </c>
      <c r="C292" s="497" t="e">
        <f t="shared" si="1"/>
        <v>#REF!</v>
      </c>
    </row>
    <row r="293" spans="2:3" ht="16" x14ac:dyDescent="0.2">
      <c r="B293" s="41" t="e">
        <f>IF(H293="credit",#REF!, (#REF!* -1))</f>
        <v>#REF!</v>
      </c>
      <c r="C293" s="497" t="e">
        <f t="shared" si="1"/>
        <v>#REF!</v>
      </c>
    </row>
    <row r="294" spans="2:3" ht="16" x14ac:dyDescent="0.2">
      <c r="B294" s="41" t="e">
        <f>IF(H294="credit",#REF!, (#REF!* -1))</f>
        <v>#REF!</v>
      </c>
      <c r="C294" s="497" t="e">
        <f t="shared" si="1"/>
        <v>#REF!</v>
      </c>
    </row>
    <row r="295" spans="2:3" ht="16" x14ac:dyDescent="0.2">
      <c r="B295" s="41" t="e">
        <f>IF(H295="credit",#REF!, (#REF!* -1))</f>
        <v>#REF!</v>
      </c>
      <c r="C295" s="497" t="e">
        <f t="shared" si="1"/>
        <v>#REF!</v>
      </c>
    </row>
    <row r="296" spans="2:3" ht="16" x14ac:dyDescent="0.2">
      <c r="B296" s="41" t="e">
        <f>IF(H296="credit",#REF!, (#REF!* -1))</f>
        <v>#REF!</v>
      </c>
      <c r="C296" s="497" t="e">
        <f t="shared" si="1"/>
        <v>#REF!</v>
      </c>
    </row>
    <row r="297" spans="2:3" ht="16" x14ac:dyDescent="0.2">
      <c r="B297" s="41" t="e">
        <f>IF(H297="credit",#REF!, (#REF!* -1))</f>
        <v>#REF!</v>
      </c>
      <c r="C297" s="497" t="e">
        <f t="shared" si="1"/>
        <v>#REF!</v>
      </c>
    </row>
    <row r="298" spans="2:3" ht="16" x14ac:dyDescent="0.2">
      <c r="B298" s="41" t="e">
        <f>IF(H298="credit",#REF!, (#REF!* -1))</f>
        <v>#REF!</v>
      </c>
      <c r="C298" s="497" t="e">
        <f t="shared" si="1"/>
        <v>#REF!</v>
      </c>
    </row>
    <row r="299" spans="2:3" ht="16" x14ac:dyDescent="0.2">
      <c r="B299" s="41" t="e">
        <f>IF(H299="credit",#REF!, (#REF!* -1))</f>
        <v>#REF!</v>
      </c>
      <c r="C299" s="497" t="e">
        <f t="shared" si="1"/>
        <v>#REF!</v>
      </c>
    </row>
    <row r="300" spans="2:3" ht="16" x14ac:dyDescent="0.2">
      <c r="B300" s="41" t="e">
        <f>IF(H300="credit",#REF!, (#REF!* -1))</f>
        <v>#REF!</v>
      </c>
      <c r="C300" s="497" t="e">
        <f t="shared" si="1"/>
        <v>#REF!</v>
      </c>
    </row>
    <row r="301" spans="2:3" ht="16" x14ac:dyDescent="0.2">
      <c r="B301" s="41" t="e">
        <f>IF(H301="credit",#REF!, (#REF!* -1))</f>
        <v>#REF!</v>
      </c>
      <c r="C301" s="497" t="e">
        <f t="shared" si="1"/>
        <v>#REF!</v>
      </c>
    </row>
    <row r="302" spans="2:3" ht="16" x14ac:dyDescent="0.2">
      <c r="B302" s="41" t="e">
        <f>IF(H302="credit",#REF!, (#REF!* -1))</f>
        <v>#REF!</v>
      </c>
      <c r="C302" s="497" t="e">
        <f t="shared" si="1"/>
        <v>#REF!</v>
      </c>
    </row>
    <row r="303" spans="2:3" ht="16" x14ac:dyDescent="0.2">
      <c r="B303" s="41" t="e">
        <f>IF(H303="credit",#REF!, (#REF!* -1))</f>
        <v>#REF!</v>
      </c>
      <c r="C303" s="497" t="e">
        <f t="shared" si="1"/>
        <v>#REF!</v>
      </c>
    </row>
    <row r="304" spans="2:3" ht="16" x14ac:dyDescent="0.2">
      <c r="B304" s="41" t="e">
        <f>IF(H304="credit",#REF!, (#REF!* -1))</f>
        <v>#REF!</v>
      </c>
      <c r="C304" s="497" t="e">
        <f t="shared" si="1"/>
        <v>#REF!</v>
      </c>
    </row>
    <row r="305" spans="2:3" ht="16" x14ac:dyDescent="0.2">
      <c r="B305" s="41" t="e">
        <f>IF(H305="credit",#REF!, (#REF!* -1))</f>
        <v>#REF!</v>
      </c>
      <c r="C305" s="497" t="e">
        <f t="shared" si="1"/>
        <v>#REF!</v>
      </c>
    </row>
    <row r="306" spans="2:3" ht="16" x14ac:dyDescent="0.2">
      <c r="B306" s="41" t="e">
        <f>IF(H306="credit",#REF!, (#REF!* -1))</f>
        <v>#REF!</v>
      </c>
      <c r="C306" s="497" t="e">
        <f t="shared" si="1"/>
        <v>#REF!</v>
      </c>
    </row>
    <row r="307" spans="2:3" ht="16" x14ac:dyDescent="0.2">
      <c r="B307" s="41" t="e">
        <f>IF(H307="credit",#REF!, (#REF!* -1))</f>
        <v>#REF!</v>
      </c>
      <c r="C307" s="497" t="e">
        <f t="shared" si="1"/>
        <v>#REF!</v>
      </c>
    </row>
    <row r="308" spans="2:3" ht="16" x14ac:dyDescent="0.2">
      <c r="B308" s="41" t="e">
        <f>IF(H308="credit",#REF!, (#REF!* -1))</f>
        <v>#REF!</v>
      </c>
      <c r="C308" s="497" t="e">
        <f t="shared" si="1"/>
        <v>#REF!</v>
      </c>
    </row>
    <row r="309" spans="2:3" ht="16" x14ac:dyDescent="0.2">
      <c r="B309" s="41" t="e">
        <f>IF(H309="credit",#REF!, (#REF!* -1))</f>
        <v>#REF!</v>
      </c>
      <c r="C309" s="497" t="e">
        <f t="shared" si="1"/>
        <v>#REF!</v>
      </c>
    </row>
    <row r="310" spans="2:3" ht="16" x14ac:dyDescent="0.2">
      <c r="B310" s="41" t="e">
        <f>IF(H310="credit",#REF!, (#REF!* -1))</f>
        <v>#REF!</v>
      </c>
      <c r="C310" s="497" t="e">
        <f t="shared" si="1"/>
        <v>#REF!</v>
      </c>
    </row>
    <row r="311" spans="2:3" ht="16" x14ac:dyDescent="0.2">
      <c r="B311" s="41" t="e">
        <f>IF(H311="credit",#REF!, (#REF!* -1))</f>
        <v>#REF!</v>
      </c>
      <c r="C311" s="497" t="e">
        <f t="shared" si="1"/>
        <v>#REF!</v>
      </c>
    </row>
    <row r="312" spans="2:3" ht="16" x14ac:dyDescent="0.2">
      <c r="B312" s="41" t="e">
        <f>IF(H312="credit",#REF!, (#REF!* -1))</f>
        <v>#REF!</v>
      </c>
      <c r="C312" s="497" t="e">
        <f t="shared" si="1"/>
        <v>#REF!</v>
      </c>
    </row>
    <row r="313" spans="2:3" ht="16" x14ac:dyDescent="0.2">
      <c r="B313" s="41" t="e">
        <f>IF(H313="credit",#REF!, (#REF!* -1))</f>
        <v>#REF!</v>
      </c>
      <c r="C313" s="497" t="e">
        <f t="shared" si="1"/>
        <v>#REF!</v>
      </c>
    </row>
    <row r="314" spans="2:3" ht="16" x14ac:dyDescent="0.2">
      <c r="B314" s="41" t="e">
        <f>IF(H314="credit",#REF!, (#REF!* -1))</f>
        <v>#REF!</v>
      </c>
      <c r="C314" s="497" t="e">
        <f t="shared" si="1"/>
        <v>#REF!</v>
      </c>
    </row>
    <row r="315" spans="2:3" ht="16" x14ac:dyDescent="0.2">
      <c r="B315" s="41" t="e">
        <f>IF(H315="credit",#REF!, (#REF!* -1))</f>
        <v>#REF!</v>
      </c>
      <c r="C315" s="497" t="e">
        <f t="shared" si="1"/>
        <v>#REF!</v>
      </c>
    </row>
    <row r="316" spans="2:3" ht="16" x14ac:dyDescent="0.2">
      <c r="B316" s="41" t="e">
        <f>IF(H316="credit",#REF!, (#REF!* -1))</f>
        <v>#REF!</v>
      </c>
      <c r="C316" s="497" t="e">
        <f t="shared" si="1"/>
        <v>#REF!</v>
      </c>
    </row>
    <row r="317" spans="2:3" ht="16" x14ac:dyDescent="0.2">
      <c r="B317" s="41" t="e">
        <f>IF(H317="credit",#REF!, (#REF!* -1))</f>
        <v>#REF!</v>
      </c>
      <c r="C317" s="497" t="e">
        <f t="shared" si="1"/>
        <v>#REF!</v>
      </c>
    </row>
    <row r="318" spans="2:3" ht="16" x14ac:dyDescent="0.2">
      <c r="B318" s="41" t="e">
        <f>IF(H318="credit",#REF!, (#REF!* -1))</f>
        <v>#REF!</v>
      </c>
      <c r="C318" s="497" t="e">
        <f t="shared" si="1"/>
        <v>#REF!</v>
      </c>
    </row>
    <row r="319" spans="2:3" ht="16" x14ac:dyDescent="0.2">
      <c r="B319" s="41" t="e">
        <f>IF(H319="credit",#REF!, (#REF!* -1))</f>
        <v>#REF!</v>
      </c>
      <c r="C319" s="497" t="e">
        <f t="shared" si="1"/>
        <v>#REF!</v>
      </c>
    </row>
    <row r="320" spans="2:3" ht="16" x14ac:dyDescent="0.2">
      <c r="B320" s="41" t="e">
        <f>IF(H320="credit",#REF!, (#REF!* -1))</f>
        <v>#REF!</v>
      </c>
      <c r="C320" s="497" t="e">
        <f t="shared" si="1"/>
        <v>#REF!</v>
      </c>
    </row>
    <row r="321" spans="2:3" ht="16" x14ac:dyDescent="0.2">
      <c r="B321" s="41" t="e">
        <f>IF(H321="credit",#REF!, (#REF!* -1))</f>
        <v>#REF!</v>
      </c>
      <c r="C321" s="497" t="e">
        <f t="shared" si="1"/>
        <v>#REF!</v>
      </c>
    </row>
    <row r="322" spans="2:3" ht="16" x14ac:dyDescent="0.2">
      <c r="B322" s="41" t="e">
        <f>IF(H322="credit",#REF!, (#REF!* -1))</f>
        <v>#REF!</v>
      </c>
      <c r="C322" s="497" t="e">
        <f t="shared" si="1"/>
        <v>#REF!</v>
      </c>
    </row>
    <row r="323" spans="2:3" ht="16" x14ac:dyDescent="0.2">
      <c r="B323" s="41" t="e">
        <f>IF(H323="credit",#REF!, (#REF!* -1))</f>
        <v>#REF!</v>
      </c>
      <c r="C323" s="497" t="e">
        <f t="shared" si="1"/>
        <v>#REF!</v>
      </c>
    </row>
    <row r="324" spans="2:3" ht="16" x14ac:dyDescent="0.2">
      <c r="B324" s="41" t="e">
        <f>IF(H324="credit",#REF!, (#REF!* -1))</f>
        <v>#REF!</v>
      </c>
      <c r="C324" s="497" t="e">
        <f t="shared" si="1"/>
        <v>#REF!</v>
      </c>
    </row>
    <row r="325" spans="2:3" ht="16" x14ac:dyDescent="0.2">
      <c r="B325" s="41" t="e">
        <f>IF(H325="credit",#REF!, (#REF!* -1))</f>
        <v>#REF!</v>
      </c>
      <c r="C325" s="497" t="e">
        <f t="shared" si="1"/>
        <v>#REF!</v>
      </c>
    </row>
    <row r="326" spans="2:3" ht="16" x14ac:dyDescent="0.2">
      <c r="B326" s="41" t="e">
        <f>IF(H326="credit",#REF!, (#REF!* -1))</f>
        <v>#REF!</v>
      </c>
      <c r="C326" s="497" t="e">
        <f t="shared" si="1"/>
        <v>#REF!</v>
      </c>
    </row>
    <row r="327" spans="2:3" ht="16" x14ac:dyDescent="0.2">
      <c r="B327" s="41" t="e">
        <f>IF(H327="credit",#REF!, (#REF!* -1))</f>
        <v>#REF!</v>
      </c>
      <c r="C327" s="497" t="e">
        <f t="shared" si="1"/>
        <v>#REF!</v>
      </c>
    </row>
    <row r="328" spans="2:3" ht="16" x14ac:dyDescent="0.2">
      <c r="B328" s="41" t="e">
        <f>IF(H328="credit",#REF!, (#REF!* -1))</f>
        <v>#REF!</v>
      </c>
      <c r="C328" s="497" t="e">
        <f t="shared" si="1"/>
        <v>#REF!</v>
      </c>
    </row>
    <row r="329" spans="2:3" ht="16" x14ac:dyDescent="0.2">
      <c r="B329" s="41" t="e">
        <f>IF(H329="credit",#REF!, (#REF!* -1))</f>
        <v>#REF!</v>
      </c>
      <c r="C329" s="497" t="e">
        <f t="shared" si="1"/>
        <v>#REF!</v>
      </c>
    </row>
    <row r="330" spans="2:3" ht="16" x14ac:dyDescent="0.2">
      <c r="B330" s="41" t="e">
        <f>IF(H330="credit",#REF!, (#REF!* -1))</f>
        <v>#REF!</v>
      </c>
      <c r="C330" s="497" t="e">
        <f t="shared" si="1"/>
        <v>#REF!</v>
      </c>
    </row>
    <row r="331" spans="2:3" ht="16" x14ac:dyDescent="0.2">
      <c r="B331" s="41" t="e">
        <f>IF(H331="credit",#REF!, (#REF!* -1))</f>
        <v>#REF!</v>
      </c>
      <c r="C331" s="497" t="e">
        <f t="shared" ref="C331:C394" si="2">C330+B331</f>
        <v>#REF!</v>
      </c>
    </row>
    <row r="332" spans="2:3" ht="16" x14ac:dyDescent="0.2">
      <c r="B332" s="41" t="e">
        <f>IF(H332="credit",#REF!, (#REF!* -1))</f>
        <v>#REF!</v>
      </c>
      <c r="C332" s="497" t="e">
        <f t="shared" si="2"/>
        <v>#REF!</v>
      </c>
    </row>
    <row r="333" spans="2:3" ht="16" x14ac:dyDescent="0.2">
      <c r="B333" s="41" t="e">
        <f>IF(H333="credit",#REF!, (#REF!* -1))</f>
        <v>#REF!</v>
      </c>
      <c r="C333" s="497" t="e">
        <f t="shared" si="2"/>
        <v>#REF!</v>
      </c>
    </row>
    <row r="334" spans="2:3" ht="16" x14ac:dyDescent="0.2">
      <c r="B334" s="41" t="e">
        <f>IF(H334="credit",#REF!, (#REF!* -1))</f>
        <v>#REF!</v>
      </c>
      <c r="C334" s="497" t="e">
        <f t="shared" si="2"/>
        <v>#REF!</v>
      </c>
    </row>
    <row r="335" spans="2:3" ht="16" x14ac:dyDescent="0.2">
      <c r="B335" s="41" t="e">
        <f>IF(H335="credit",#REF!, (#REF!* -1))</f>
        <v>#REF!</v>
      </c>
      <c r="C335" s="497" t="e">
        <f t="shared" si="2"/>
        <v>#REF!</v>
      </c>
    </row>
    <row r="336" spans="2:3" ht="16" x14ac:dyDescent="0.2">
      <c r="B336" s="41" t="e">
        <f>IF(H336="credit",#REF!, (#REF!* -1))</f>
        <v>#REF!</v>
      </c>
      <c r="C336" s="497" t="e">
        <f t="shared" si="2"/>
        <v>#REF!</v>
      </c>
    </row>
    <row r="337" spans="2:3" ht="16" x14ac:dyDescent="0.2">
      <c r="B337" s="41" t="e">
        <f>IF(H337="credit",#REF!, (#REF!* -1))</f>
        <v>#REF!</v>
      </c>
      <c r="C337" s="497" t="e">
        <f t="shared" si="2"/>
        <v>#REF!</v>
      </c>
    </row>
    <row r="338" spans="2:3" ht="16" x14ac:dyDescent="0.2">
      <c r="B338" s="41" t="e">
        <f>IF(H338="credit",#REF!, (#REF!* -1))</f>
        <v>#REF!</v>
      </c>
      <c r="C338" s="497" t="e">
        <f t="shared" si="2"/>
        <v>#REF!</v>
      </c>
    </row>
    <row r="339" spans="2:3" ht="16" x14ac:dyDescent="0.2">
      <c r="B339" s="41" t="e">
        <f>IF(H339="credit",#REF!, (#REF!* -1))</f>
        <v>#REF!</v>
      </c>
      <c r="C339" s="497" t="e">
        <f t="shared" si="2"/>
        <v>#REF!</v>
      </c>
    </row>
    <row r="340" spans="2:3" ht="16" x14ac:dyDescent="0.2">
      <c r="B340" s="41" t="e">
        <f>IF(H340="credit",#REF!, (#REF!* -1))</f>
        <v>#REF!</v>
      </c>
      <c r="C340" s="497" t="e">
        <f t="shared" si="2"/>
        <v>#REF!</v>
      </c>
    </row>
    <row r="341" spans="2:3" ht="16" x14ac:dyDescent="0.2">
      <c r="B341" s="41" t="e">
        <f>IF(H341="credit",#REF!, (#REF!* -1))</f>
        <v>#REF!</v>
      </c>
      <c r="C341" s="497" t="e">
        <f t="shared" si="2"/>
        <v>#REF!</v>
      </c>
    </row>
    <row r="342" spans="2:3" ht="16" x14ac:dyDescent="0.2">
      <c r="B342" s="41" t="e">
        <f>IF(H342="credit",#REF!, (#REF!* -1))</f>
        <v>#REF!</v>
      </c>
      <c r="C342" s="497" t="e">
        <f t="shared" si="2"/>
        <v>#REF!</v>
      </c>
    </row>
    <row r="343" spans="2:3" ht="16" x14ac:dyDescent="0.2">
      <c r="B343" s="41" t="e">
        <f>IF(H343="credit",#REF!, (#REF!* -1))</f>
        <v>#REF!</v>
      </c>
      <c r="C343" s="497" t="e">
        <f t="shared" si="2"/>
        <v>#REF!</v>
      </c>
    </row>
    <row r="344" spans="2:3" ht="16" x14ac:dyDescent="0.2">
      <c r="B344" s="41" t="e">
        <f>IF(H344="credit",#REF!, (#REF!* -1))</f>
        <v>#REF!</v>
      </c>
      <c r="C344" s="497" t="e">
        <f t="shared" si="2"/>
        <v>#REF!</v>
      </c>
    </row>
    <row r="345" spans="2:3" ht="16" x14ac:dyDescent="0.2">
      <c r="B345" s="41" t="e">
        <f>IF(H345="credit",#REF!, (#REF!* -1))</f>
        <v>#REF!</v>
      </c>
      <c r="C345" s="497" t="e">
        <f t="shared" si="2"/>
        <v>#REF!</v>
      </c>
    </row>
    <row r="346" spans="2:3" ht="16" x14ac:dyDescent="0.2">
      <c r="B346" s="41" t="e">
        <f>IF(H346="credit",#REF!, (#REF!* -1))</f>
        <v>#REF!</v>
      </c>
      <c r="C346" s="497" t="e">
        <f t="shared" si="2"/>
        <v>#REF!</v>
      </c>
    </row>
    <row r="347" spans="2:3" ht="16" x14ac:dyDescent="0.2">
      <c r="B347" s="41" t="e">
        <f>IF(H347="credit",#REF!, (#REF!* -1))</f>
        <v>#REF!</v>
      </c>
      <c r="C347" s="497" t="e">
        <f t="shared" si="2"/>
        <v>#REF!</v>
      </c>
    </row>
    <row r="348" spans="2:3" ht="16" x14ac:dyDescent="0.2">
      <c r="B348" s="41" t="e">
        <f>IF(H348="credit",#REF!, (#REF!* -1))</f>
        <v>#REF!</v>
      </c>
      <c r="C348" s="497" t="e">
        <f t="shared" si="2"/>
        <v>#REF!</v>
      </c>
    </row>
    <row r="349" spans="2:3" ht="16" x14ac:dyDescent="0.2">
      <c r="B349" s="41" t="e">
        <f>IF(H349="credit",#REF!, (#REF!* -1))</f>
        <v>#REF!</v>
      </c>
      <c r="C349" s="497" t="e">
        <f t="shared" si="2"/>
        <v>#REF!</v>
      </c>
    </row>
    <row r="350" spans="2:3" ht="16" x14ac:dyDescent="0.2">
      <c r="B350" s="41" t="e">
        <f>IF(H350="credit",#REF!, (#REF!* -1))</f>
        <v>#REF!</v>
      </c>
      <c r="C350" s="497" t="e">
        <f t="shared" si="2"/>
        <v>#REF!</v>
      </c>
    </row>
    <row r="351" spans="2:3" ht="16" x14ac:dyDescent="0.2">
      <c r="B351" s="41" t="e">
        <f>IF(H351="credit",#REF!, (#REF!* -1))</f>
        <v>#REF!</v>
      </c>
      <c r="C351" s="497" t="e">
        <f t="shared" si="2"/>
        <v>#REF!</v>
      </c>
    </row>
    <row r="352" spans="2:3" ht="16" x14ac:dyDescent="0.2">
      <c r="B352" s="41" t="e">
        <f>IF(H352="credit",#REF!, (#REF!* -1))</f>
        <v>#REF!</v>
      </c>
      <c r="C352" s="497" t="e">
        <f t="shared" si="2"/>
        <v>#REF!</v>
      </c>
    </row>
    <row r="353" spans="2:3" ht="16" x14ac:dyDescent="0.2">
      <c r="B353" s="41" t="e">
        <f>IF(H353="credit",#REF!, (#REF!* -1))</f>
        <v>#REF!</v>
      </c>
      <c r="C353" s="497" t="e">
        <f t="shared" si="2"/>
        <v>#REF!</v>
      </c>
    </row>
    <row r="354" spans="2:3" ht="16" x14ac:dyDescent="0.2">
      <c r="B354" s="41" t="e">
        <f>IF(H354="credit",#REF!, (#REF!* -1))</f>
        <v>#REF!</v>
      </c>
      <c r="C354" s="497" t="e">
        <f t="shared" si="2"/>
        <v>#REF!</v>
      </c>
    </row>
    <row r="355" spans="2:3" ht="16" x14ac:dyDescent="0.2">
      <c r="B355" s="41" t="e">
        <f>IF(H355="credit",#REF!, (#REF!* -1))</f>
        <v>#REF!</v>
      </c>
      <c r="C355" s="497" t="e">
        <f t="shared" si="2"/>
        <v>#REF!</v>
      </c>
    </row>
    <row r="356" spans="2:3" ht="16" x14ac:dyDescent="0.2">
      <c r="B356" s="41" t="e">
        <f>IF(H356="credit",#REF!, (#REF!* -1))</f>
        <v>#REF!</v>
      </c>
      <c r="C356" s="497" t="e">
        <f t="shared" si="2"/>
        <v>#REF!</v>
      </c>
    </row>
    <row r="357" spans="2:3" ht="16" x14ac:dyDescent="0.2">
      <c r="B357" s="41" t="e">
        <f>IF(H357="credit",#REF!, (#REF!* -1))</f>
        <v>#REF!</v>
      </c>
      <c r="C357" s="497" t="e">
        <f t="shared" si="2"/>
        <v>#REF!</v>
      </c>
    </row>
    <row r="358" spans="2:3" ht="16" x14ac:dyDescent="0.2">
      <c r="B358" s="41" t="e">
        <f>IF(H358="credit",#REF!, (#REF!* -1))</f>
        <v>#REF!</v>
      </c>
      <c r="C358" s="497" t="e">
        <f t="shared" si="2"/>
        <v>#REF!</v>
      </c>
    </row>
    <row r="359" spans="2:3" ht="16" x14ac:dyDescent="0.2">
      <c r="B359" s="41" t="e">
        <f>IF(H359="credit",#REF!, (#REF!* -1))</f>
        <v>#REF!</v>
      </c>
      <c r="C359" s="497" t="e">
        <f t="shared" si="2"/>
        <v>#REF!</v>
      </c>
    </row>
    <row r="360" spans="2:3" ht="16" x14ac:dyDescent="0.2">
      <c r="B360" s="41" t="e">
        <f>IF(H360="credit",#REF!, (#REF!* -1))</f>
        <v>#REF!</v>
      </c>
      <c r="C360" s="497" t="e">
        <f t="shared" si="2"/>
        <v>#REF!</v>
      </c>
    </row>
    <row r="361" spans="2:3" ht="16" x14ac:dyDescent="0.2">
      <c r="B361" s="41" t="e">
        <f>IF(H361="credit",#REF!, (#REF!* -1))</f>
        <v>#REF!</v>
      </c>
      <c r="C361" s="497" t="e">
        <f t="shared" si="2"/>
        <v>#REF!</v>
      </c>
    </row>
    <row r="362" spans="2:3" ht="16" x14ac:dyDescent="0.2">
      <c r="B362" s="41" t="e">
        <f>IF(H362="credit",#REF!, (#REF!* -1))</f>
        <v>#REF!</v>
      </c>
      <c r="C362" s="497" t="e">
        <f t="shared" si="2"/>
        <v>#REF!</v>
      </c>
    </row>
    <row r="363" spans="2:3" ht="16" x14ac:dyDescent="0.2">
      <c r="B363" s="41" t="e">
        <f>IF(H363="credit",#REF!, (#REF!* -1))</f>
        <v>#REF!</v>
      </c>
      <c r="C363" s="497" t="e">
        <f t="shared" si="2"/>
        <v>#REF!</v>
      </c>
    </row>
    <row r="364" spans="2:3" ht="16" x14ac:dyDescent="0.2">
      <c r="B364" s="41" t="e">
        <f>IF(H364="credit",#REF!, (#REF!* -1))</f>
        <v>#REF!</v>
      </c>
      <c r="C364" s="497" t="e">
        <f t="shared" si="2"/>
        <v>#REF!</v>
      </c>
    </row>
    <row r="365" spans="2:3" ht="16" x14ac:dyDescent="0.2">
      <c r="B365" s="41" t="e">
        <f>IF(H365="credit",#REF!, (#REF!* -1))</f>
        <v>#REF!</v>
      </c>
      <c r="C365" s="497" t="e">
        <f t="shared" si="2"/>
        <v>#REF!</v>
      </c>
    </row>
    <row r="366" spans="2:3" ht="16" x14ac:dyDescent="0.2">
      <c r="B366" s="41" t="e">
        <f>IF(H366="credit",#REF!, (#REF!* -1))</f>
        <v>#REF!</v>
      </c>
      <c r="C366" s="497" t="e">
        <f t="shared" si="2"/>
        <v>#REF!</v>
      </c>
    </row>
    <row r="367" spans="2:3" ht="16" x14ac:dyDescent="0.2">
      <c r="B367" s="41" t="e">
        <f>IF(H367="credit",#REF!, (#REF!* -1))</f>
        <v>#REF!</v>
      </c>
      <c r="C367" s="497" t="e">
        <f t="shared" si="2"/>
        <v>#REF!</v>
      </c>
    </row>
    <row r="368" spans="2:3" ht="16" x14ac:dyDescent="0.2">
      <c r="B368" s="41" t="e">
        <f>IF(H368="credit",#REF!, (#REF!* -1))</f>
        <v>#REF!</v>
      </c>
      <c r="C368" s="497" t="e">
        <f t="shared" si="2"/>
        <v>#REF!</v>
      </c>
    </row>
    <row r="369" spans="2:11" ht="16" x14ac:dyDescent="0.2">
      <c r="B369" s="41" t="e">
        <f>IF(H369="credit",#REF!, (#REF!* -1))</f>
        <v>#REF!</v>
      </c>
      <c r="C369" s="497" t="e">
        <f t="shared" si="2"/>
        <v>#REF!</v>
      </c>
    </row>
    <row r="370" spans="2:11" ht="16" x14ac:dyDescent="0.2">
      <c r="B370" s="41" t="e">
        <f>IF(H370="credit",#REF!, (#REF!* -1))</f>
        <v>#REF!</v>
      </c>
      <c r="C370" s="497" t="e">
        <f t="shared" si="2"/>
        <v>#REF!</v>
      </c>
    </row>
    <row r="371" spans="2:11" ht="16" x14ac:dyDescent="0.2">
      <c r="B371" s="41" t="e">
        <f>IF(H371="credit",#REF!, (#REF!* -1))</f>
        <v>#REF!</v>
      </c>
      <c r="C371" s="497" t="e">
        <f t="shared" si="2"/>
        <v>#REF!</v>
      </c>
    </row>
    <row r="372" spans="2:11" ht="16" x14ac:dyDescent="0.2">
      <c r="B372" s="41" t="e">
        <f>IF(H372="credit",#REF!, (#REF!* -1))</f>
        <v>#REF!</v>
      </c>
      <c r="C372" s="497" t="e">
        <f t="shared" si="2"/>
        <v>#REF!</v>
      </c>
    </row>
    <row r="373" spans="2:11" ht="16" x14ac:dyDescent="0.2">
      <c r="B373" s="41" t="e">
        <f>IF(H373="credit",#REF!, (#REF!* -1))</f>
        <v>#REF!</v>
      </c>
      <c r="C373" s="497" t="e">
        <f t="shared" si="2"/>
        <v>#REF!</v>
      </c>
    </row>
    <row r="374" spans="2:11" ht="16" x14ac:dyDescent="0.2">
      <c r="B374" s="41" t="e">
        <f>IF(H374="credit",#REF!, (#REF!* -1))</f>
        <v>#REF!</v>
      </c>
      <c r="C374" s="497" t="e">
        <f t="shared" si="2"/>
        <v>#REF!</v>
      </c>
    </row>
    <row r="375" spans="2:11" ht="16" x14ac:dyDescent="0.2">
      <c r="B375" s="41" t="e">
        <f>IF(H375="credit",#REF!, (#REF!* -1))</f>
        <v>#REF!</v>
      </c>
      <c r="C375" s="497" t="e">
        <f t="shared" si="2"/>
        <v>#REF!</v>
      </c>
    </row>
    <row r="376" spans="2:11" ht="16" x14ac:dyDescent="0.2">
      <c r="B376" s="41" t="e">
        <f>IF(H376="credit",#REF!, (#REF!* -1))</f>
        <v>#REF!</v>
      </c>
      <c r="C376" s="497" t="e">
        <f t="shared" si="2"/>
        <v>#REF!</v>
      </c>
    </row>
    <row r="377" spans="2:11" ht="16" x14ac:dyDescent="0.2">
      <c r="B377" s="41" t="e">
        <f>IF(H377="credit",#REF!, (#REF!* -1))</f>
        <v>#REF!</v>
      </c>
      <c r="C377" s="497" t="e">
        <f t="shared" si="2"/>
        <v>#REF!</v>
      </c>
      <c r="K377" s="276"/>
    </row>
    <row r="378" spans="2:11" ht="16" x14ac:dyDescent="0.2">
      <c r="B378" s="41" t="e">
        <f>IF(H378="credit",#REF!, (#REF!* -1))</f>
        <v>#REF!</v>
      </c>
      <c r="C378" s="497" t="e">
        <f t="shared" si="2"/>
        <v>#REF!</v>
      </c>
      <c r="K378" s="276"/>
    </row>
    <row r="379" spans="2:11" ht="16" x14ac:dyDescent="0.2">
      <c r="B379" s="41" t="e">
        <f>IF(H379="credit",#REF!, (#REF!* -1))</f>
        <v>#REF!</v>
      </c>
      <c r="C379" s="497" t="e">
        <f t="shared" si="2"/>
        <v>#REF!</v>
      </c>
      <c r="K379" s="276"/>
    </row>
    <row r="380" spans="2:11" ht="16" x14ac:dyDescent="0.2">
      <c r="B380" s="41" t="e">
        <f>IF(H380="credit",#REF!, (#REF!* -1))</f>
        <v>#REF!</v>
      </c>
      <c r="C380" s="497" t="e">
        <f t="shared" si="2"/>
        <v>#REF!</v>
      </c>
    </row>
    <row r="381" spans="2:11" ht="16" x14ac:dyDescent="0.2">
      <c r="B381" s="41" t="e">
        <f>IF(H381="credit",#REF!, (#REF!* -1))</f>
        <v>#REF!</v>
      </c>
      <c r="C381" s="497" t="e">
        <f t="shared" si="2"/>
        <v>#REF!</v>
      </c>
    </row>
    <row r="382" spans="2:11" ht="16" x14ac:dyDescent="0.2">
      <c r="B382" s="41" t="e">
        <f>IF(H382="credit",#REF!, (#REF!* -1))</f>
        <v>#REF!</v>
      </c>
      <c r="C382" s="497" t="e">
        <f t="shared" si="2"/>
        <v>#REF!</v>
      </c>
    </row>
    <row r="383" spans="2:11" ht="16" x14ac:dyDescent="0.2">
      <c r="B383" s="41" t="e">
        <f>IF(H383="credit",#REF!, (#REF!* -1))</f>
        <v>#REF!</v>
      </c>
      <c r="C383" s="497" t="e">
        <f t="shared" si="2"/>
        <v>#REF!</v>
      </c>
    </row>
    <row r="384" spans="2:11" ht="16" x14ac:dyDescent="0.2">
      <c r="B384" s="41" t="e">
        <f>IF(H384="credit",#REF!, (#REF!* -1))</f>
        <v>#REF!</v>
      </c>
      <c r="C384" s="497" t="e">
        <f t="shared" si="2"/>
        <v>#REF!</v>
      </c>
    </row>
    <row r="385" spans="2:11" ht="16" x14ac:dyDescent="0.2">
      <c r="B385" s="41" t="e">
        <f>IF(H385="credit",#REF!, (#REF!* -1))</f>
        <v>#REF!</v>
      </c>
      <c r="C385" s="497" t="e">
        <f t="shared" si="2"/>
        <v>#REF!</v>
      </c>
    </row>
    <row r="386" spans="2:11" ht="16" x14ac:dyDescent="0.2">
      <c r="B386" s="41" t="e">
        <f>IF(H386="credit",#REF!, (#REF!* -1))</f>
        <v>#REF!</v>
      </c>
      <c r="C386" s="497" t="e">
        <f t="shared" si="2"/>
        <v>#REF!</v>
      </c>
    </row>
    <row r="387" spans="2:11" ht="16" x14ac:dyDescent="0.2">
      <c r="B387" s="41" t="e">
        <f>IF(H387="credit",#REF!, (#REF!* -1))</f>
        <v>#REF!</v>
      </c>
      <c r="C387" s="497" t="e">
        <f t="shared" si="2"/>
        <v>#REF!</v>
      </c>
    </row>
    <row r="388" spans="2:11" ht="16" x14ac:dyDescent="0.2">
      <c r="B388" s="41" t="e">
        <f>IF(H388="credit",#REF!, (#REF!* -1))</f>
        <v>#REF!</v>
      </c>
      <c r="C388" s="497" t="e">
        <f t="shared" si="2"/>
        <v>#REF!</v>
      </c>
    </row>
    <row r="389" spans="2:11" ht="16" x14ac:dyDescent="0.2">
      <c r="B389" s="41" t="e">
        <f>IF(H389="credit",#REF!, (#REF!* -1))</f>
        <v>#REF!</v>
      </c>
      <c r="C389" s="497" t="e">
        <f t="shared" si="2"/>
        <v>#REF!</v>
      </c>
    </row>
    <row r="390" spans="2:11" ht="16" x14ac:dyDescent="0.2">
      <c r="B390" s="41" t="e">
        <f>IF(H390="credit",#REF!, (#REF!* -1))</f>
        <v>#REF!</v>
      </c>
      <c r="C390" s="497" t="e">
        <f t="shared" si="2"/>
        <v>#REF!</v>
      </c>
    </row>
    <row r="391" spans="2:11" ht="16" x14ac:dyDescent="0.2">
      <c r="B391" s="41" t="e">
        <f>IF(H391="credit",#REF!, (#REF!* -1))</f>
        <v>#REF!</v>
      </c>
      <c r="C391" s="497" t="e">
        <f t="shared" si="2"/>
        <v>#REF!</v>
      </c>
    </row>
    <row r="392" spans="2:11" ht="16" x14ac:dyDescent="0.2">
      <c r="B392" s="41" t="e">
        <f>IF(H392="credit",#REF!, (#REF!* -1))</f>
        <v>#REF!</v>
      </c>
      <c r="C392" s="497" t="e">
        <f t="shared" si="2"/>
        <v>#REF!</v>
      </c>
    </row>
    <row r="393" spans="2:11" ht="16" x14ac:dyDescent="0.2">
      <c r="B393" s="41" t="e">
        <f>IF(H393="credit",#REF!, (#REF!* -1))</f>
        <v>#REF!</v>
      </c>
      <c r="C393" s="497" t="e">
        <f t="shared" si="2"/>
        <v>#REF!</v>
      </c>
    </row>
    <row r="394" spans="2:11" ht="16" x14ac:dyDescent="0.2">
      <c r="B394" s="41" t="e">
        <f>IF(H394="credit",#REF!, (#REF!* -1))</f>
        <v>#REF!</v>
      </c>
      <c r="C394" s="497" t="e">
        <f t="shared" si="2"/>
        <v>#REF!</v>
      </c>
    </row>
    <row r="395" spans="2:11" ht="16" x14ac:dyDescent="0.2">
      <c r="B395" s="41" t="e">
        <f>IF(H395="credit",#REF!, (#REF!* -1))</f>
        <v>#REF!</v>
      </c>
      <c r="C395" s="497" t="e">
        <f t="shared" ref="C395:C458" si="3">C394+B395</f>
        <v>#REF!</v>
      </c>
    </row>
    <row r="396" spans="2:11" ht="16" x14ac:dyDescent="0.2">
      <c r="B396" s="41" t="e">
        <f>IF(H396="credit",#REF!, (#REF!* -1))</f>
        <v>#REF!</v>
      </c>
      <c r="C396" s="497" t="e">
        <f t="shared" si="3"/>
        <v>#REF!</v>
      </c>
      <c r="K396" s="276"/>
    </row>
    <row r="397" spans="2:11" ht="16" x14ac:dyDescent="0.2">
      <c r="B397" s="41" t="e">
        <f>IF(H397="credit",#REF!, (#REF!* -1))</f>
        <v>#REF!</v>
      </c>
      <c r="C397" s="497" t="e">
        <f t="shared" si="3"/>
        <v>#REF!</v>
      </c>
    </row>
    <row r="398" spans="2:11" ht="16" x14ac:dyDescent="0.2">
      <c r="B398" s="41" t="e">
        <f>IF(H398="credit",#REF!, (#REF!* -1))</f>
        <v>#REF!</v>
      </c>
      <c r="C398" s="497" t="e">
        <f t="shared" si="3"/>
        <v>#REF!</v>
      </c>
    </row>
    <row r="399" spans="2:11" ht="16" x14ac:dyDescent="0.2">
      <c r="B399" s="41" t="e">
        <f>IF(H399="credit",#REF!, (#REF!* -1))</f>
        <v>#REF!</v>
      </c>
      <c r="C399" s="497" t="e">
        <f t="shared" si="3"/>
        <v>#REF!</v>
      </c>
    </row>
    <row r="400" spans="2:11" ht="16" x14ac:dyDescent="0.2">
      <c r="B400" s="41" t="e">
        <f>IF(H400="credit",#REF!, (#REF!* -1))</f>
        <v>#REF!</v>
      </c>
      <c r="C400" s="497" t="e">
        <f t="shared" si="3"/>
        <v>#REF!</v>
      </c>
    </row>
    <row r="401" spans="2:3" ht="16" x14ac:dyDescent="0.2">
      <c r="B401" s="41" t="e">
        <f>IF(H401="credit",#REF!, (#REF!* -1))</f>
        <v>#REF!</v>
      </c>
      <c r="C401" s="497" t="e">
        <f t="shared" si="3"/>
        <v>#REF!</v>
      </c>
    </row>
    <row r="402" spans="2:3" ht="16" x14ac:dyDescent="0.2">
      <c r="B402" s="41" t="e">
        <f>IF(H402="credit",#REF!, (#REF!* -1))</f>
        <v>#REF!</v>
      </c>
      <c r="C402" s="497" t="e">
        <f t="shared" si="3"/>
        <v>#REF!</v>
      </c>
    </row>
    <row r="403" spans="2:3" ht="16" x14ac:dyDescent="0.2">
      <c r="B403" s="41" t="e">
        <f>IF(H403="credit",#REF!, (#REF!* -1))</f>
        <v>#REF!</v>
      </c>
      <c r="C403" s="497" t="e">
        <f t="shared" si="3"/>
        <v>#REF!</v>
      </c>
    </row>
    <row r="404" spans="2:3" ht="16" x14ac:dyDescent="0.2">
      <c r="B404" s="41" t="e">
        <f>IF(H404="credit",#REF!, (#REF!* -1))</f>
        <v>#REF!</v>
      </c>
      <c r="C404" s="497" t="e">
        <f t="shared" si="3"/>
        <v>#REF!</v>
      </c>
    </row>
    <row r="405" spans="2:3" ht="16" x14ac:dyDescent="0.2">
      <c r="B405" s="41" t="e">
        <f>IF(H405="credit",#REF!, (#REF!* -1))</f>
        <v>#REF!</v>
      </c>
      <c r="C405" s="497" t="e">
        <f t="shared" si="3"/>
        <v>#REF!</v>
      </c>
    </row>
    <row r="406" spans="2:3" ht="16" x14ac:dyDescent="0.2">
      <c r="B406" s="41" t="e">
        <f>IF(H406="credit",#REF!, (#REF!* -1))</f>
        <v>#REF!</v>
      </c>
      <c r="C406" s="497" t="e">
        <f t="shared" si="3"/>
        <v>#REF!</v>
      </c>
    </row>
    <row r="407" spans="2:3" ht="16" x14ac:dyDescent="0.2">
      <c r="B407" s="41" t="e">
        <f>IF(H407="credit",#REF!, (#REF!* -1))</f>
        <v>#REF!</v>
      </c>
      <c r="C407" s="497" t="e">
        <f t="shared" si="3"/>
        <v>#REF!</v>
      </c>
    </row>
    <row r="408" spans="2:3" ht="16" x14ac:dyDescent="0.2">
      <c r="B408" s="41" t="e">
        <f>IF(H408="credit",#REF!, (#REF!* -1))</f>
        <v>#REF!</v>
      </c>
      <c r="C408" s="497" t="e">
        <f t="shared" si="3"/>
        <v>#REF!</v>
      </c>
    </row>
    <row r="409" spans="2:3" ht="16" x14ac:dyDescent="0.2">
      <c r="B409" s="41" t="e">
        <f>IF(H409="credit",#REF!, (#REF!* -1))</f>
        <v>#REF!</v>
      </c>
      <c r="C409" s="497" t="e">
        <f t="shared" si="3"/>
        <v>#REF!</v>
      </c>
    </row>
    <row r="410" spans="2:3" ht="16" x14ac:dyDescent="0.2">
      <c r="B410" s="41" t="e">
        <f>IF(H410="credit",#REF!, (#REF!* -1))</f>
        <v>#REF!</v>
      </c>
      <c r="C410" s="497" t="e">
        <f t="shared" si="3"/>
        <v>#REF!</v>
      </c>
    </row>
    <row r="411" spans="2:3" ht="16" x14ac:dyDescent="0.2">
      <c r="B411" s="41" t="e">
        <f>IF(H411="credit",#REF!, (#REF!* -1))</f>
        <v>#REF!</v>
      </c>
      <c r="C411" s="497" t="e">
        <f t="shared" si="3"/>
        <v>#REF!</v>
      </c>
    </row>
    <row r="412" spans="2:3" ht="16" x14ac:dyDescent="0.2">
      <c r="B412" s="41" t="e">
        <f>IF(H412="credit",#REF!, (#REF!* -1))</f>
        <v>#REF!</v>
      </c>
      <c r="C412" s="497" t="e">
        <f t="shared" si="3"/>
        <v>#REF!</v>
      </c>
    </row>
    <row r="413" spans="2:3" ht="16" x14ac:dyDescent="0.2">
      <c r="B413" s="41" t="e">
        <f>IF(H413="credit",#REF!, (#REF!* -1))</f>
        <v>#REF!</v>
      </c>
      <c r="C413" s="497" t="e">
        <f t="shared" si="3"/>
        <v>#REF!</v>
      </c>
    </row>
    <row r="414" spans="2:3" ht="16" x14ac:dyDescent="0.2">
      <c r="B414" s="41" t="e">
        <f>IF(H414="credit",#REF!, (#REF!* -1))</f>
        <v>#REF!</v>
      </c>
      <c r="C414" s="497" t="e">
        <f t="shared" si="3"/>
        <v>#REF!</v>
      </c>
    </row>
    <row r="415" spans="2:3" ht="16" x14ac:dyDescent="0.2">
      <c r="B415" s="41" t="e">
        <f>IF(H415="credit",#REF!, (#REF!* -1))</f>
        <v>#REF!</v>
      </c>
      <c r="C415" s="497" t="e">
        <f t="shared" si="3"/>
        <v>#REF!</v>
      </c>
    </row>
    <row r="416" spans="2:3" ht="16" x14ac:dyDescent="0.2">
      <c r="B416" s="41" t="e">
        <f>IF(H416="credit",#REF!, (#REF!* -1))</f>
        <v>#REF!</v>
      </c>
      <c r="C416" s="497" t="e">
        <f t="shared" si="3"/>
        <v>#REF!</v>
      </c>
    </row>
    <row r="417" spans="2:3" ht="16" x14ac:dyDescent="0.2">
      <c r="B417" s="41" t="e">
        <f>IF(H417="credit",#REF!, (#REF!* -1))</f>
        <v>#REF!</v>
      </c>
      <c r="C417" s="497" t="e">
        <f t="shared" si="3"/>
        <v>#REF!</v>
      </c>
    </row>
    <row r="418" spans="2:3" ht="16" x14ac:dyDescent="0.2">
      <c r="B418" s="41" t="e">
        <f>IF(H418="credit",#REF!, (#REF!* -1))</f>
        <v>#REF!</v>
      </c>
      <c r="C418" s="497" t="e">
        <f t="shared" si="3"/>
        <v>#REF!</v>
      </c>
    </row>
    <row r="419" spans="2:3" ht="16" x14ac:dyDescent="0.2">
      <c r="B419" s="41" t="e">
        <f>IF(H419="credit",#REF!, (#REF!* -1))</f>
        <v>#REF!</v>
      </c>
      <c r="C419" s="497" t="e">
        <f t="shared" si="3"/>
        <v>#REF!</v>
      </c>
    </row>
    <row r="420" spans="2:3" ht="16" x14ac:dyDescent="0.2">
      <c r="B420" s="41" t="e">
        <f>IF(H420="credit",#REF!, (#REF!* -1))</f>
        <v>#REF!</v>
      </c>
      <c r="C420" s="497" t="e">
        <f t="shared" si="3"/>
        <v>#REF!</v>
      </c>
    </row>
    <row r="421" spans="2:3" ht="16" x14ac:dyDescent="0.2">
      <c r="B421" s="41" t="e">
        <f>IF(H421="credit",#REF!, (#REF!* -1))</f>
        <v>#REF!</v>
      </c>
      <c r="C421" s="497" t="e">
        <f t="shared" si="3"/>
        <v>#REF!</v>
      </c>
    </row>
    <row r="422" spans="2:3" ht="16" x14ac:dyDescent="0.2">
      <c r="B422" s="41" t="e">
        <f>IF(H422="credit",#REF!, (#REF!* -1))</f>
        <v>#REF!</v>
      </c>
      <c r="C422" s="497" t="e">
        <f t="shared" si="3"/>
        <v>#REF!</v>
      </c>
    </row>
    <row r="423" spans="2:3" ht="16" x14ac:dyDescent="0.2">
      <c r="B423" s="41" t="e">
        <f>IF(H423="credit",#REF!, (#REF!* -1))</f>
        <v>#REF!</v>
      </c>
      <c r="C423" s="497" t="e">
        <f t="shared" si="3"/>
        <v>#REF!</v>
      </c>
    </row>
    <row r="424" spans="2:3" ht="16" x14ac:dyDescent="0.2">
      <c r="B424" s="41" t="e">
        <f>IF(H424="credit",#REF!, (#REF!* -1))</f>
        <v>#REF!</v>
      </c>
      <c r="C424" s="497" t="e">
        <f t="shared" si="3"/>
        <v>#REF!</v>
      </c>
    </row>
    <row r="425" spans="2:3" ht="16" x14ac:dyDescent="0.2">
      <c r="B425" s="41" t="e">
        <f>IF(H425="credit",#REF!, (#REF!* -1))</f>
        <v>#REF!</v>
      </c>
      <c r="C425" s="497" t="e">
        <f t="shared" si="3"/>
        <v>#REF!</v>
      </c>
    </row>
    <row r="426" spans="2:3" ht="16" x14ac:dyDescent="0.2">
      <c r="B426" s="41" t="e">
        <f>IF(H426="credit",#REF!, (#REF!* -1))</f>
        <v>#REF!</v>
      </c>
      <c r="C426" s="497" t="e">
        <f t="shared" si="3"/>
        <v>#REF!</v>
      </c>
    </row>
    <row r="427" spans="2:3" ht="16" x14ac:dyDescent="0.2">
      <c r="B427" s="41" t="e">
        <f>IF(H427="credit",#REF!, (#REF!* -1))</f>
        <v>#REF!</v>
      </c>
      <c r="C427" s="497" t="e">
        <f t="shared" si="3"/>
        <v>#REF!</v>
      </c>
    </row>
    <row r="428" spans="2:3" ht="16" x14ac:dyDescent="0.2">
      <c r="B428" s="41" t="e">
        <f>IF(H428="credit",#REF!, (#REF!* -1))</f>
        <v>#REF!</v>
      </c>
      <c r="C428" s="497" t="e">
        <f t="shared" si="3"/>
        <v>#REF!</v>
      </c>
    </row>
    <row r="429" spans="2:3" ht="16" x14ac:dyDescent="0.2">
      <c r="B429" s="41" t="e">
        <f>IF(H429="credit",#REF!, (#REF!* -1))</f>
        <v>#REF!</v>
      </c>
      <c r="C429" s="497" t="e">
        <f t="shared" si="3"/>
        <v>#REF!</v>
      </c>
    </row>
    <row r="430" spans="2:3" ht="16" x14ac:dyDescent="0.2">
      <c r="B430" s="41" t="e">
        <f>IF(H430="credit",#REF!, (#REF!* -1))</f>
        <v>#REF!</v>
      </c>
      <c r="C430" s="497" t="e">
        <f t="shared" si="3"/>
        <v>#REF!</v>
      </c>
    </row>
    <row r="431" spans="2:3" ht="16" x14ac:dyDescent="0.2">
      <c r="B431" s="41" t="e">
        <f>IF(H431="credit",#REF!, (#REF!* -1))</f>
        <v>#REF!</v>
      </c>
      <c r="C431" s="497" t="e">
        <f t="shared" si="3"/>
        <v>#REF!</v>
      </c>
    </row>
    <row r="432" spans="2:3" ht="16" x14ac:dyDescent="0.2">
      <c r="B432" s="41" t="e">
        <f>IF(H432="credit",#REF!, (#REF!* -1))</f>
        <v>#REF!</v>
      </c>
      <c r="C432" s="497" t="e">
        <f t="shared" si="3"/>
        <v>#REF!</v>
      </c>
    </row>
    <row r="433" spans="2:3" ht="16" x14ac:dyDescent="0.2">
      <c r="B433" s="41" t="e">
        <f>IF(H433="credit",#REF!, (#REF!* -1))</f>
        <v>#REF!</v>
      </c>
      <c r="C433" s="497" t="e">
        <f t="shared" si="3"/>
        <v>#REF!</v>
      </c>
    </row>
    <row r="434" spans="2:3" ht="16" x14ac:dyDescent="0.2">
      <c r="B434" s="41" t="e">
        <f>IF(H434="credit",#REF!, (#REF!* -1))</f>
        <v>#REF!</v>
      </c>
      <c r="C434" s="497" t="e">
        <f t="shared" si="3"/>
        <v>#REF!</v>
      </c>
    </row>
    <row r="435" spans="2:3" ht="16" x14ac:dyDescent="0.2">
      <c r="B435" s="41" t="e">
        <f>IF(H435="credit",#REF!, (#REF!* -1))</f>
        <v>#REF!</v>
      </c>
      <c r="C435" s="497" t="e">
        <f t="shared" si="3"/>
        <v>#REF!</v>
      </c>
    </row>
    <row r="436" spans="2:3" ht="16" x14ac:dyDescent="0.2">
      <c r="B436" s="41" t="e">
        <f>IF(H436="credit",#REF!, (#REF!* -1))</f>
        <v>#REF!</v>
      </c>
      <c r="C436" s="497" t="e">
        <f t="shared" si="3"/>
        <v>#REF!</v>
      </c>
    </row>
    <row r="437" spans="2:3" ht="16" x14ac:dyDescent="0.2">
      <c r="B437" s="41" t="e">
        <f>IF(H437="credit",#REF!, (#REF!* -1))</f>
        <v>#REF!</v>
      </c>
      <c r="C437" s="497" t="e">
        <f t="shared" si="3"/>
        <v>#REF!</v>
      </c>
    </row>
    <row r="438" spans="2:3" ht="16" x14ac:dyDescent="0.2">
      <c r="B438" s="41" t="e">
        <f>IF(H438="credit",#REF!, (#REF!* -1))</f>
        <v>#REF!</v>
      </c>
      <c r="C438" s="497" t="e">
        <f t="shared" si="3"/>
        <v>#REF!</v>
      </c>
    </row>
    <row r="439" spans="2:3" ht="16" x14ac:dyDescent="0.2">
      <c r="B439" s="41" t="e">
        <f>IF(H439="credit",#REF!, (#REF!* -1))</f>
        <v>#REF!</v>
      </c>
      <c r="C439" s="497" t="e">
        <f t="shared" si="3"/>
        <v>#REF!</v>
      </c>
    </row>
    <row r="440" spans="2:3" ht="16" x14ac:dyDescent="0.2">
      <c r="B440" s="41" t="e">
        <f>IF(H440="credit",#REF!, (#REF!* -1))</f>
        <v>#REF!</v>
      </c>
      <c r="C440" s="497" t="e">
        <f t="shared" si="3"/>
        <v>#REF!</v>
      </c>
    </row>
    <row r="441" spans="2:3" ht="16" x14ac:dyDescent="0.2">
      <c r="B441" s="41" t="e">
        <f>IF(H441="credit",#REF!, (#REF!* -1))</f>
        <v>#REF!</v>
      </c>
      <c r="C441" s="497" t="e">
        <f t="shared" si="3"/>
        <v>#REF!</v>
      </c>
    </row>
    <row r="442" spans="2:3" ht="16" x14ac:dyDescent="0.2">
      <c r="B442" s="41" t="e">
        <f>IF(H442="credit",#REF!, (#REF!* -1))</f>
        <v>#REF!</v>
      </c>
      <c r="C442" s="497" t="e">
        <f t="shared" si="3"/>
        <v>#REF!</v>
      </c>
    </row>
    <row r="443" spans="2:3" ht="16" x14ac:dyDescent="0.2">
      <c r="B443" s="41" t="e">
        <f>IF(H443="credit",#REF!, (#REF!* -1))</f>
        <v>#REF!</v>
      </c>
      <c r="C443" s="497" t="e">
        <f t="shared" si="3"/>
        <v>#REF!</v>
      </c>
    </row>
    <row r="444" spans="2:3" ht="16" x14ac:dyDescent="0.2">
      <c r="B444" s="41" t="e">
        <f>IF(H444="credit",#REF!, (#REF!* -1))</f>
        <v>#REF!</v>
      </c>
      <c r="C444" s="497" t="e">
        <f t="shared" si="3"/>
        <v>#REF!</v>
      </c>
    </row>
    <row r="445" spans="2:3" ht="16" x14ac:dyDescent="0.2">
      <c r="B445" s="41" t="e">
        <f>IF(H445="credit",#REF!, (#REF!* -1))</f>
        <v>#REF!</v>
      </c>
      <c r="C445" s="497" t="e">
        <f t="shared" si="3"/>
        <v>#REF!</v>
      </c>
    </row>
    <row r="446" spans="2:3" ht="16" x14ac:dyDescent="0.2">
      <c r="B446" s="41" t="e">
        <f>IF(H446="credit",#REF!, (#REF!* -1))</f>
        <v>#REF!</v>
      </c>
      <c r="C446" s="497" t="e">
        <f t="shared" si="3"/>
        <v>#REF!</v>
      </c>
    </row>
    <row r="447" spans="2:3" ht="16" x14ac:dyDescent="0.2">
      <c r="B447" s="41" t="e">
        <f>IF(H447="credit",#REF!, (#REF!* -1))</f>
        <v>#REF!</v>
      </c>
      <c r="C447" s="497" t="e">
        <f t="shared" si="3"/>
        <v>#REF!</v>
      </c>
    </row>
    <row r="448" spans="2:3" ht="16" x14ac:dyDescent="0.2">
      <c r="B448" s="41" t="e">
        <f>IF(H448="credit",#REF!, (#REF!* -1))</f>
        <v>#REF!</v>
      </c>
      <c r="C448" s="497" t="e">
        <f t="shared" si="3"/>
        <v>#REF!</v>
      </c>
    </row>
    <row r="449" spans="2:3" ht="16" x14ac:dyDescent="0.2">
      <c r="B449" s="41" t="e">
        <f>IF(H449="credit",#REF!, (#REF!* -1))</f>
        <v>#REF!</v>
      </c>
      <c r="C449" s="497" t="e">
        <f t="shared" si="3"/>
        <v>#REF!</v>
      </c>
    </row>
    <row r="450" spans="2:3" ht="16" x14ac:dyDescent="0.2">
      <c r="B450" s="41" t="e">
        <f>IF(H450="credit",#REF!, (#REF!* -1))</f>
        <v>#REF!</v>
      </c>
      <c r="C450" s="497" t="e">
        <f t="shared" si="3"/>
        <v>#REF!</v>
      </c>
    </row>
    <row r="451" spans="2:3" ht="16" x14ac:dyDescent="0.2">
      <c r="B451" s="41" t="e">
        <f>IF(H451="credit",#REF!, (#REF!* -1))</f>
        <v>#REF!</v>
      </c>
      <c r="C451" s="497" t="e">
        <f t="shared" si="3"/>
        <v>#REF!</v>
      </c>
    </row>
    <row r="452" spans="2:3" ht="16" x14ac:dyDescent="0.2">
      <c r="B452" s="41" t="e">
        <f>IF(H452="credit",#REF!, (#REF!* -1))</f>
        <v>#REF!</v>
      </c>
      <c r="C452" s="497" t="e">
        <f t="shared" si="3"/>
        <v>#REF!</v>
      </c>
    </row>
    <row r="453" spans="2:3" ht="16" x14ac:dyDescent="0.2">
      <c r="B453" s="41" t="e">
        <f>IF(H453="credit",#REF!, (#REF!* -1))</f>
        <v>#REF!</v>
      </c>
      <c r="C453" s="497" t="e">
        <f t="shared" si="3"/>
        <v>#REF!</v>
      </c>
    </row>
    <row r="454" spans="2:3" ht="16" x14ac:dyDescent="0.2">
      <c r="B454" s="41" t="e">
        <f>IF(H454="credit",#REF!, (#REF!* -1))</f>
        <v>#REF!</v>
      </c>
      <c r="C454" s="497" t="e">
        <f t="shared" si="3"/>
        <v>#REF!</v>
      </c>
    </row>
    <row r="455" spans="2:3" ht="16" x14ac:dyDescent="0.2">
      <c r="B455" s="41" t="e">
        <f>IF(H455="credit",#REF!, (#REF!* -1))</f>
        <v>#REF!</v>
      </c>
      <c r="C455" s="497" t="e">
        <f t="shared" si="3"/>
        <v>#REF!</v>
      </c>
    </row>
    <row r="456" spans="2:3" ht="16" x14ac:dyDescent="0.2">
      <c r="B456" s="41" t="e">
        <f>IF(H456="credit",#REF!, (#REF!* -1))</f>
        <v>#REF!</v>
      </c>
      <c r="C456" s="497" t="e">
        <f t="shared" si="3"/>
        <v>#REF!</v>
      </c>
    </row>
    <row r="457" spans="2:3" ht="16" x14ac:dyDescent="0.2">
      <c r="B457" s="41" t="e">
        <f>IF(H457="credit",#REF!, (#REF!* -1))</f>
        <v>#REF!</v>
      </c>
      <c r="C457" s="497" t="e">
        <f t="shared" si="3"/>
        <v>#REF!</v>
      </c>
    </row>
    <row r="458" spans="2:3" ht="16" x14ac:dyDescent="0.2">
      <c r="B458" s="41" t="e">
        <f>IF(H458="credit",#REF!, (#REF!* -1))</f>
        <v>#REF!</v>
      </c>
      <c r="C458" s="497" t="e">
        <f t="shared" si="3"/>
        <v>#REF!</v>
      </c>
    </row>
    <row r="459" spans="2:3" ht="16" x14ac:dyDescent="0.2">
      <c r="B459" s="41" t="e">
        <f>IF(H459="credit",#REF!, (#REF!* -1))</f>
        <v>#REF!</v>
      </c>
      <c r="C459" s="497" t="e">
        <f t="shared" ref="C459:C522" si="4">C458+B459</f>
        <v>#REF!</v>
      </c>
    </row>
    <row r="460" spans="2:3" ht="16" x14ac:dyDescent="0.2">
      <c r="B460" s="41" t="e">
        <f>IF(H460="credit",#REF!, (#REF!* -1))</f>
        <v>#REF!</v>
      </c>
      <c r="C460" s="497" t="e">
        <f t="shared" si="4"/>
        <v>#REF!</v>
      </c>
    </row>
    <row r="461" spans="2:3" ht="16" x14ac:dyDescent="0.2">
      <c r="B461" s="41" t="e">
        <f>IF(H461="credit",#REF!, (#REF!* -1))</f>
        <v>#REF!</v>
      </c>
      <c r="C461" s="497" t="e">
        <f t="shared" si="4"/>
        <v>#REF!</v>
      </c>
    </row>
    <row r="462" spans="2:3" ht="16" x14ac:dyDescent="0.2">
      <c r="B462" s="41" t="e">
        <f>IF(H462="credit",#REF!, (#REF!* -1))</f>
        <v>#REF!</v>
      </c>
      <c r="C462" s="497" t="e">
        <f t="shared" si="4"/>
        <v>#REF!</v>
      </c>
    </row>
    <row r="463" spans="2:3" ht="16" x14ac:dyDescent="0.2">
      <c r="B463" s="41" t="e">
        <f>IF(H463="credit",#REF!, (#REF!* -1))</f>
        <v>#REF!</v>
      </c>
      <c r="C463" s="497" t="e">
        <f t="shared" si="4"/>
        <v>#REF!</v>
      </c>
    </row>
    <row r="464" spans="2:3" ht="16" x14ac:dyDescent="0.2">
      <c r="B464" s="41" t="e">
        <f>IF(H464="credit",#REF!, (#REF!* -1))</f>
        <v>#REF!</v>
      </c>
      <c r="C464" s="497" t="e">
        <f t="shared" si="4"/>
        <v>#REF!</v>
      </c>
    </row>
    <row r="465" spans="2:3" ht="16" x14ac:dyDescent="0.2">
      <c r="B465" s="41" t="e">
        <f>IF(H465="credit",#REF!, (#REF!* -1))</f>
        <v>#REF!</v>
      </c>
      <c r="C465" s="497" t="e">
        <f t="shared" si="4"/>
        <v>#REF!</v>
      </c>
    </row>
    <row r="466" spans="2:3" ht="16" x14ac:dyDescent="0.2">
      <c r="B466" s="41" t="e">
        <f>IF(H466="credit",#REF!, (#REF!* -1))</f>
        <v>#REF!</v>
      </c>
      <c r="C466" s="497" t="e">
        <f t="shared" si="4"/>
        <v>#REF!</v>
      </c>
    </row>
    <row r="467" spans="2:3" ht="16" x14ac:dyDescent="0.2">
      <c r="B467" s="41" t="e">
        <f>IF(H467="credit",#REF!, (#REF!* -1))</f>
        <v>#REF!</v>
      </c>
      <c r="C467" s="497" t="e">
        <f t="shared" si="4"/>
        <v>#REF!</v>
      </c>
    </row>
    <row r="468" spans="2:3" ht="16" x14ac:dyDescent="0.2">
      <c r="B468" s="41" t="e">
        <f>IF(H468="credit",#REF!, (#REF!* -1))</f>
        <v>#REF!</v>
      </c>
      <c r="C468" s="497" t="e">
        <f t="shared" si="4"/>
        <v>#REF!</v>
      </c>
    </row>
    <row r="469" spans="2:3" ht="16" x14ac:dyDescent="0.2">
      <c r="B469" s="41" t="e">
        <f>IF(H469="credit",#REF!, (#REF!* -1))</f>
        <v>#REF!</v>
      </c>
      <c r="C469" s="497" t="e">
        <f t="shared" si="4"/>
        <v>#REF!</v>
      </c>
    </row>
    <row r="470" spans="2:3" ht="16" x14ac:dyDescent="0.2">
      <c r="B470" s="41" t="e">
        <f>IF(H470="credit",#REF!, (#REF!* -1))</f>
        <v>#REF!</v>
      </c>
      <c r="C470" s="497" t="e">
        <f t="shared" si="4"/>
        <v>#REF!</v>
      </c>
    </row>
    <row r="471" spans="2:3" ht="16" x14ac:dyDescent="0.2">
      <c r="B471" s="41" t="e">
        <f>IF(H471="credit",#REF!, (#REF!* -1))</f>
        <v>#REF!</v>
      </c>
      <c r="C471" s="497" t="e">
        <f t="shared" si="4"/>
        <v>#REF!</v>
      </c>
    </row>
    <row r="472" spans="2:3" ht="16" x14ac:dyDescent="0.2">
      <c r="B472" s="41" t="e">
        <f>IF(H472="credit",#REF!, (#REF!* -1))</f>
        <v>#REF!</v>
      </c>
      <c r="C472" s="497" t="e">
        <f t="shared" si="4"/>
        <v>#REF!</v>
      </c>
    </row>
    <row r="473" spans="2:3" ht="16" x14ac:dyDescent="0.2">
      <c r="B473" s="41" t="e">
        <f>IF(H473="credit",#REF!, (#REF!* -1))</f>
        <v>#REF!</v>
      </c>
      <c r="C473" s="497" t="e">
        <f t="shared" si="4"/>
        <v>#REF!</v>
      </c>
    </row>
    <row r="474" spans="2:3" ht="16" x14ac:dyDescent="0.2">
      <c r="B474" s="41" t="e">
        <f>IF(H474="credit",#REF!, (#REF!* -1))</f>
        <v>#REF!</v>
      </c>
      <c r="C474" s="497" t="e">
        <f t="shared" si="4"/>
        <v>#REF!</v>
      </c>
    </row>
    <row r="475" spans="2:3" ht="16" x14ac:dyDescent="0.2">
      <c r="B475" s="41" t="e">
        <f>IF(H475="credit",#REF!, (#REF!* -1))</f>
        <v>#REF!</v>
      </c>
      <c r="C475" s="497" t="e">
        <f t="shared" si="4"/>
        <v>#REF!</v>
      </c>
    </row>
    <row r="476" spans="2:3" ht="16" x14ac:dyDescent="0.2">
      <c r="B476" s="41" t="e">
        <f>IF(H476="credit",#REF!, (#REF!* -1))</f>
        <v>#REF!</v>
      </c>
      <c r="C476" s="497" t="e">
        <f t="shared" si="4"/>
        <v>#REF!</v>
      </c>
    </row>
    <row r="477" spans="2:3" ht="16" x14ac:dyDescent="0.2">
      <c r="B477" s="41" t="e">
        <f>IF(H477="credit",#REF!, (#REF!* -1))</f>
        <v>#REF!</v>
      </c>
      <c r="C477" s="497" t="e">
        <f t="shared" si="4"/>
        <v>#REF!</v>
      </c>
    </row>
    <row r="478" spans="2:3" ht="16" x14ac:dyDescent="0.2">
      <c r="B478" s="41" t="e">
        <f>IF(H478="credit",#REF!, (#REF!* -1))</f>
        <v>#REF!</v>
      </c>
      <c r="C478" s="497" t="e">
        <f t="shared" si="4"/>
        <v>#REF!</v>
      </c>
    </row>
    <row r="479" spans="2:3" ht="16" x14ac:dyDescent="0.2">
      <c r="B479" s="41" t="e">
        <f>IF(H479="credit",#REF!, (#REF!* -1))</f>
        <v>#REF!</v>
      </c>
      <c r="C479" s="497" t="e">
        <f t="shared" si="4"/>
        <v>#REF!</v>
      </c>
    </row>
    <row r="480" spans="2:3" ht="16" x14ac:dyDescent="0.2">
      <c r="B480" s="41" t="e">
        <f>IF(H480="credit",#REF!, (#REF!* -1))</f>
        <v>#REF!</v>
      </c>
      <c r="C480" s="497" t="e">
        <f t="shared" si="4"/>
        <v>#REF!</v>
      </c>
    </row>
    <row r="481" spans="2:3" ht="16" x14ac:dyDescent="0.2">
      <c r="B481" s="41" t="e">
        <f>IF(H481="credit",#REF!, (#REF!* -1))</f>
        <v>#REF!</v>
      </c>
      <c r="C481" s="497" t="e">
        <f t="shared" si="4"/>
        <v>#REF!</v>
      </c>
    </row>
    <row r="482" spans="2:3" ht="16" x14ac:dyDescent="0.2">
      <c r="B482" s="41" t="e">
        <f>IF(H482="credit",#REF!, (#REF!* -1))</f>
        <v>#REF!</v>
      </c>
      <c r="C482" s="497" t="e">
        <f t="shared" si="4"/>
        <v>#REF!</v>
      </c>
    </row>
    <row r="483" spans="2:3" ht="16" x14ac:dyDescent="0.2">
      <c r="B483" s="41" t="e">
        <f>IF(H483="credit",#REF!, (#REF!* -1))</f>
        <v>#REF!</v>
      </c>
      <c r="C483" s="497" t="e">
        <f t="shared" si="4"/>
        <v>#REF!</v>
      </c>
    </row>
    <row r="484" spans="2:3" ht="16" x14ac:dyDescent="0.2">
      <c r="B484" s="41" t="e">
        <f>IF(H484="credit",#REF!, (#REF!* -1))</f>
        <v>#REF!</v>
      </c>
      <c r="C484" s="497" t="e">
        <f t="shared" si="4"/>
        <v>#REF!</v>
      </c>
    </row>
    <row r="485" spans="2:3" ht="16" x14ac:dyDescent="0.2">
      <c r="B485" s="41" t="e">
        <f>IF(H485="credit",#REF!, (#REF!* -1))</f>
        <v>#REF!</v>
      </c>
      <c r="C485" s="497" t="e">
        <f t="shared" si="4"/>
        <v>#REF!</v>
      </c>
    </row>
    <row r="486" spans="2:3" ht="16" x14ac:dyDescent="0.2">
      <c r="B486" s="41" t="e">
        <f>IF(H486="credit",#REF!, (#REF!* -1))</f>
        <v>#REF!</v>
      </c>
      <c r="C486" s="497" t="e">
        <f t="shared" si="4"/>
        <v>#REF!</v>
      </c>
    </row>
    <row r="487" spans="2:3" ht="16" x14ac:dyDescent="0.2">
      <c r="B487" s="41" t="e">
        <f>IF(H487="credit",#REF!, (#REF!* -1))</f>
        <v>#REF!</v>
      </c>
      <c r="C487" s="497" t="e">
        <f t="shared" si="4"/>
        <v>#REF!</v>
      </c>
    </row>
    <row r="488" spans="2:3" ht="16" x14ac:dyDescent="0.2">
      <c r="B488" s="41" t="e">
        <f>IF(H488="credit",#REF!, (#REF!* -1))</f>
        <v>#REF!</v>
      </c>
      <c r="C488" s="497" t="e">
        <f t="shared" si="4"/>
        <v>#REF!</v>
      </c>
    </row>
    <row r="489" spans="2:3" ht="16" x14ac:dyDescent="0.2">
      <c r="B489" s="41" t="e">
        <f>IF(H489="credit",#REF!, (#REF!* -1))</f>
        <v>#REF!</v>
      </c>
      <c r="C489" s="497" t="e">
        <f t="shared" si="4"/>
        <v>#REF!</v>
      </c>
    </row>
    <row r="490" spans="2:3" ht="16" x14ac:dyDescent="0.2">
      <c r="B490" s="41" t="e">
        <f>IF(H490="credit",#REF!, (#REF!* -1))</f>
        <v>#REF!</v>
      </c>
      <c r="C490" s="497" t="e">
        <f t="shared" si="4"/>
        <v>#REF!</v>
      </c>
    </row>
    <row r="491" spans="2:3" ht="16" x14ac:dyDescent="0.2">
      <c r="B491" s="41" t="e">
        <f>IF(H491="credit",#REF!, (#REF!* -1))</f>
        <v>#REF!</v>
      </c>
      <c r="C491" s="497" t="e">
        <f t="shared" si="4"/>
        <v>#REF!</v>
      </c>
    </row>
    <row r="492" spans="2:3" ht="16" x14ac:dyDescent="0.2">
      <c r="B492" s="41" t="e">
        <f>IF(H492="credit",#REF!, (#REF!* -1))</f>
        <v>#REF!</v>
      </c>
      <c r="C492" s="497" t="e">
        <f t="shared" si="4"/>
        <v>#REF!</v>
      </c>
    </row>
    <row r="493" spans="2:3" ht="16" x14ac:dyDescent="0.2">
      <c r="B493" s="41" t="e">
        <f>IF(H493="credit",#REF!, (#REF!* -1))</f>
        <v>#REF!</v>
      </c>
      <c r="C493" s="497" t="e">
        <f t="shared" si="4"/>
        <v>#REF!</v>
      </c>
    </row>
    <row r="494" spans="2:3" ht="16" x14ac:dyDescent="0.2">
      <c r="B494" s="41" t="e">
        <f>IF(H494="credit",#REF!, (#REF!* -1))</f>
        <v>#REF!</v>
      </c>
      <c r="C494" s="497" t="e">
        <f t="shared" si="4"/>
        <v>#REF!</v>
      </c>
    </row>
    <row r="495" spans="2:3" ht="16" x14ac:dyDescent="0.2">
      <c r="B495" s="41" t="e">
        <f>IF(H495="credit",#REF!, (#REF!* -1))</f>
        <v>#REF!</v>
      </c>
      <c r="C495" s="497" t="e">
        <f t="shared" si="4"/>
        <v>#REF!</v>
      </c>
    </row>
    <row r="496" spans="2:3" ht="16" x14ac:dyDescent="0.2">
      <c r="B496" s="41" t="e">
        <f>IF(H496="credit",#REF!, (#REF!* -1))</f>
        <v>#REF!</v>
      </c>
      <c r="C496" s="497" t="e">
        <f t="shared" si="4"/>
        <v>#REF!</v>
      </c>
    </row>
    <row r="497" spans="2:3" ht="16" x14ac:dyDescent="0.2">
      <c r="B497" s="41" t="e">
        <f>IF(H497="credit",#REF!, (#REF!* -1))</f>
        <v>#REF!</v>
      </c>
      <c r="C497" s="497" t="e">
        <f t="shared" si="4"/>
        <v>#REF!</v>
      </c>
    </row>
    <row r="498" spans="2:3" ht="16" x14ac:dyDescent="0.2">
      <c r="B498" s="41" t="e">
        <f>IF(H498="credit",#REF!, (#REF!* -1))</f>
        <v>#REF!</v>
      </c>
      <c r="C498" s="497" t="e">
        <f t="shared" si="4"/>
        <v>#REF!</v>
      </c>
    </row>
    <row r="499" spans="2:3" ht="16" x14ac:dyDescent="0.2">
      <c r="B499" s="41" t="e">
        <f>IF(H499="credit",#REF!, (#REF!* -1))</f>
        <v>#REF!</v>
      </c>
      <c r="C499" s="497" t="e">
        <f t="shared" si="4"/>
        <v>#REF!</v>
      </c>
    </row>
    <row r="500" spans="2:3" ht="16" x14ac:dyDescent="0.2">
      <c r="B500" s="41" t="e">
        <f>IF(H500="credit",#REF!, (#REF!* -1))</f>
        <v>#REF!</v>
      </c>
      <c r="C500" s="497" t="e">
        <f t="shared" si="4"/>
        <v>#REF!</v>
      </c>
    </row>
    <row r="501" spans="2:3" ht="16" x14ac:dyDescent="0.2">
      <c r="B501" s="41" t="e">
        <f>IF(H501="credit",#REF!, (#REF!* -1))</f>
        <v>#REF!</v>
      </c>
      <c r="C501" s="497" t="e">
        <f t="shared" si="4"/>
        <v>#REF!</v>
      </c>
    </row>
    <row r="502" spans="2:3" ht="16" x14ac:dyDescent="0.2">
      <c r="B502" s="41" t="e">
        <f>IF(H502="credit",#REF!, (#REF!* -1))</f>
        <v>#REF!</v>
      </c>
      <c r="C502" s="497" t="e">
        <f t="shared" si="4"/>
        <v>#REF!</v>
      </c>
    </row>
    <row r="503" spans="2:3" ht="16" x14ac:dyDescent="0.2">
      <c r="B503" s="41" t="e">
        <f>IF(H503="credit",#REF!, (#REF!* -1))</f>
        <v>#REF!</v>
      </c>
      <c r="C503" s="497" t="e">
        <f t="shared" si="4"/>
        <v>#REF!</v>
      </c>
    </row>
    <row r="504" spans="2:3" ht="16" x14ac:dyDescent="0.2">
      <c r="B504" s="41" t="e">
        <f>IF(H504="credit",#REF!, (#REF!* -1))</f>
        <v>#REF!</v>
      </c>
      <c r="C504" s="497" t="e">
        <f t="shared" si="4"/>
        <v>#REF!</v>
      </c>
    </row>
    <row r="505" spans="2:3" ht="16" x14ac:dyDescent="0.2">
      <c r="B505" s="41" t="e">
        <f>IF(H505="credit",#REF!, (#REF!* -1))</f>
        <v>#REF!</v>
      </c>
      <c r="C505" s="497" t="e">
        <f t="shared" si="4"/>
        <v>#REF!</v>
      </c>
    </row>
    <row r="506" spans="2:3" ht="16" x14ac:dyDescent="0.2">
      <c r="B506" s="41" t="e">
        <f>IF(H506="credit",#REF!, (#REF!* -1))</f>
        <v>#REF!</v>
      </c>
      <c r="C506" s="497" t="e">
        <f t="shared" si="4"/>
        <v>#REF!</v>
      </c>
    </row>
    <row r="507" spans="2:3" ht="16" x14ac:dyDescent="0.2">
      <c r="B507" s="41" t="e">
        <f>IF(H507="credit",#REF!, (#REF!* -1))</f>
        <v>#REF!</v>
      </c>
      <c r="C507" s="497" t="e">
        <f t="shared" si="4"/>
        <v>#REF!</v>
      </c>
    </row>
    <row r="508" spans="2:3" ht="16" x14ac:dyDescent="0.2">
      <c r="B508" s="41" t="e">
        <f>IF(H508="credit",#REF!, (#REF!* -1))</f>
        <v>#REF!</v>
      </c>
      <c r="C508" s="497" t="e">
        <f t="shared" si="4"/>
        <v>#REF!</v>
      </c>
    </row>
    <row r="509" spans="2:3" ht="16" x14ac:dyDescent="0.2">
      <c r="B509" s="41" t="e">
        <f>IF(H509="credit",#REF!, (#REF!* -1))</f>
        <v>#REF!</v>
      </c>
      <c r="C509" s="497" t="e">
        <f t="shared" si="4"/>
        <v>#REF!</v>
      </c>
    </row>
    <row r="510" spans="2:3" ht="16" x14ac:dyDescent="0.2">
      <c r="B510" s="41" t="e">
        <f>IF(H510="credit",#REF!, (#REF!* -1))</f>
        <v>#REF!</v>
      </c>
      <c r="C510" s="497" t="e">
        <f t="shared" si="4"/>
        <v>#REF!</v>
      </c>
    </row>
    <row r="511" spans="2:3" ht="16" x14ac:dyDescent="0.2">
      <c r="B511" s="41" t="e">
        <f>IF(H511="credit",#REF!, (#REF!* -1))</f>
        <v>#REF!</v>
      </c>
      <c r="C511" s="497" t="e">
        <f t="shared" si="4"/>
        <v>#REF!</v>
      </c>
    </row>
    <row r="512" spans="2:3" ht="16" x14ac:dyDescent="0.2">
      <c r="B512" s="41" t="e">
        <f>IF(H512="credit",#REF!, (#REF!* -1))</f>
        <v>#REF!</v>
      </c>
      <c r="C512" s="497" t="e">
        <f t="shared" si="4"/>
        <v>#REF!</v>
      </c>
    </row>
    <row r="513" spans="2:3" ht="16" x14ac:dyDescent="0.2">
      <c r="B513" s="41" t="e">
        <f>IF(H513="credit",#REF!, (#REF!* -1))</f>
        <v>#REF!</v>
      </c>
      <c r="C513" s="497" t="e">
        <f t="shared" si="4"/>
        <v>#REF!</v>
      </c>
    </row>
    <row r="514" spans="2:3" ht="16" x14ac:dyDescent="0.2">
      <c r="B514" s="41" t="e">
        <f>IF(H514="credit",#REF!, (#REF!* -1))</f>
        <v>#REF!</v>
      </c>
      <c r="C514" s="497" t="e">
        <f t="shared" si="4"/>
        <v>#REF!</v>
      </c>
    </row>
    <row r="515" spans="2:3" ht="16" x14ac:dyDescent="0.2">
      <c r="B515" s="41" t="e">
        <f>IF(H515="credit",#REF!, (#REF!* -1))</f>
        <v>#REF!</v>
      </c>
      <c r="C515" s="497" t="e">
        <f t="shared" si="4"/>
        <v>#REF!</v>
      </c>
    </row>
    <row r="516" spans="2:3" ht="16" x14ac:dyDescent="0.2">
      <c r="B516" s="41" t="e">
        <f>IF(H516="credit",#REF!, (#REF!* -1))</f>
        <v>#REF!</v>
      </c>
      <c r="C516" s="497" t="e">
        <f t="shared" si="4"/>
        <v>#REF!</v>
      </c>
    </row>
    <row r="517" spans="2:3" ht="16" x14ac:dyDescent="0.2">
      <c r="B517" s="41" t="e">
        <f>IF(H517="credit",#REF!, (#REF!* -1))</f>
        <v>#REF!</v>
      </c>
      <c r="C517" s="497" t="e">
        <f t="shared" si="4"/>
        <v>#REF!</v>
      </c>
    </row>
    <row r="518" spans="2:3" ht="16" x14ac:dyDescent="0.2">
      <c r="B518" s="41" t="e">
        <f>IF(H518="credit",#REF!, (#REF!* -1))</f>
        <v>#REF!</v>
      </c>
      <c r="C518" s="497" t="e">
        <f t="shared" si="4"/>
        <v>#REF!</v>
      </c>
    </row>
    <row r="519" spans="2:3" ht="16" x14ac:dyDescent="0.2">
      <c r="B519" s="41" t="e">
        <f>IF(H519="credit",#REF!, (#REF!* -1))</f>
        <v>#REF!</v>
      </c>
      <c r="C519" s="497" t="e">
        <f t="shared" si="4"/>
        <v>#REF!</v>
      </c>
    </row>
    <row r="520" spans="2:3" ht="16" x14ac:dyDescent="0.2">
      <c r="B520" s="41" t="e">
        <f>IF(H520="credit",#REF!, (#REF!* -1))</f>
        <v>#REF!</v>
      </c>
      <c r="C520" s="497" t="e">
        <f t="shared" si="4"/>
        <v>#REF!</v>
      </c>
    </row>
    <row r="521" spans="2:3" ht="16" x14ac:dyDescent="0.2">
      <c r="B521" s="41" t="e">
        <f>IF(H521="credit",#REF!, (#REF!* -1))</f>
        <v>#REF!</v>
      </c>
      <c r="C521" s="497" t="e">
        <f t="shared" si="4"/>
        <v>#REF!</v>
      </c>
    </row>
    <row r="522" spans="2:3" ht="16" x14ac:dyDescent="0.2">
      <c r="B522" s="41" t="e">
        <f>IF(H522="credit",#REF!, (#REF!* -1))</f>
        <v>#REF!</v>
      </c>
      <c r="C522" s="497" t="e">
        <f t="shared" si="4"/>
        <v>#REF!</v>
      </c>
    </row>
    <row r="523" spans="2:3" ht="16" x14ac:dyDescent="0.2">
      <c r="B523" s="41" t="e">
        <f>IF(H523="credit",#REF!, (#REF!* -1))</f>
        <v>#REF!</v>
      </c>
      <c r="C523" s="497" t="e">
        <f t="shared" ref="C523:C586" si="5">C522+B523</f>
        <v>#REF!</v>
      </c>
    </row>
    <row r="524" spans="2:3" ht="16" x14ac:dyDescent="0.2">
      <c r="B524" s="41" t="e">
        <f>IF(H524="credit",#REF!, (#REF!* -1))</f>
        <v>#REF!</v>
      </c>
      <c r="C524" s="497" t="e">
        <f t="shared" si="5"/>
        <v>#REF!</v>
      </c>
    </row>
    <row r="525" spans="2:3" ht="16" x14ac:dyDescent="0.2">
      <c r="B525" s="41" t="e">
        <f>IF(H525="credit",#REF!, (#REF!* -1))</f>
        <v>#REF!</v>
      </c>
      <c r="C525" s="497" t="e">
        <f t="shared" si="5"/>
        <v>#REF!</v>
      </c>
    </row>
    <row r="526" spans="2:3" ht="16" x14ac:dyDescent="0.2">
      <c r="B526" s="41" t="e">
        <f>IF(H526="credit",#REF!, (#REF!* -1))</f>
        <v>#REF!</v>
      </c>
      <c r="C526" s="497" t="e">
        <f t="shared" si="5"/>
        <v>#REF!</v>
      </c>
    </row>
    <row r="527" spans="2:3" ht="16" x14ac:dyDescent="0.2">
      <c r="B527" s="41" t="e">
        <f>IF(H527="credit",#REF!, (#REF!* -1))</f>
        <v>#REF!</v>
      </c>
      <c r="C527" s="497" t="e">
        <f t="shared" si="5"/>
        <v>#REF!</v>
      </c>
    </row>
    <row r="528" spans="2:3" ht="16" x14ac:dyDescent="0.2">
      <c r="B528" s="41" t="e">
        <f>IF(H528="credit",#REF!, (#REF!* -1))</f>
        <v>#REF!</v>
      </c>
      <c r="C528" s="497" t="e">
        <f t="shared" si="5"/>
        <v>#REF!</v>
      </c>
    </row>
    <row r="529" spans="2:3" ht="16" x14ac:dyDescent="0.2">
      <c r="B529" s="41" t="e">
        <f>IF(H529="credit",#REF!, (#REF!* -1))</f>
        <v>#REF!</v>
      </c>
      <c r="C529" s="497" t="e">
        <f t="shared" si="5"/>
        <v>#REF!</v>
      </c>
    </row>
    <row r="530" spans="2:3" ht="16" x14ac:dyDescent="0.2">
      <c r="B530" s="41" t="e">
        <f>IF(H530="credit",#REF!, (#REF!* -1))</f>
        <v>#REF!</v>
      </c>
      <c r="C530" s="497" t="e">
        <f t="shared" si="5"/>
        <v>#REF!</v>
      </c>
    </row>
    <row r="531" spans="2:3" ht="16" x14ac:dyDescent="0.2">
      <c r="B531" s="41" t="e">
        <f>IF(H531="credit",#REF!, (#REF!* -1))</f>
        <v>#REF!</v>
      </c>
      <c r="C531" s="497" t="e">
        <f t="shared" si="5"/>
        <v>#REF!</v>
      </c>
    </row>
    <row r="532" spans="2:3" ht="16" x14ac:dyDescent="0.2">
      <c r="B532" s="41" t="e">
        <f>IF(H532="credit",#REF!, (#REF!* -1))</f>
        <v>#REF!</v>
      </c>
      <c r="C532" s="497" t="e">
        <f t="shared" si="5"/>
        <v>#REF!</v>
      </c>
    </row>
    <row r="533" spans="2:3" ht="16" x14ac:dyDescent="0.2">
      <c r="B533" s="41" t="e">
        <f>IF(H533="credit",#REF!, (#REF!* -1))</f>
        <v>#REF!</v>
      </c>
      <c r="C533" s="497" t="e">
        <f t="shared" si="5"/>
        <v>#REF!</v>
      </c>
    </row>
    <row r="534" spans="2:3" ht="16" x14ac:dyDescent="0.2">
      <c r="B534" s="41" t="e">
        <f>IF(H534="credit",#REF!, (#REF!* -1))</f>
        <v>#REF!</v>
      </c>
      <c r="C534" s="497" t="e">
        <f t="shared" si="5"/>
        <v>#REF!</v>
      </c>
    </row>
    <row r="535" spans="2:3" ht="16" x14ac:dyDescent="0.2">
      <c r="B535" s="41" t="e">
        <f>IF(H535="credit",#REF!, (#REF!* -1))</f>
        <v>#REF!</v>
      </c>
      <c r="C535" s="497" t="e">
        <f t="shared" si="5"/>
        <v>#REF!</v>
      </c>
    </row>
    <row r="536" spans="2:3" ht="16" x14ac:dyDescent="0.2">
      <c r="B536" s="41" t="e">
        <f>IF(H536="credit",#REF!, (#REF!* -1))</f>
        <v>#REF!</v>
      </c>
      <c r="C536" s="497" t="e">
        <f t="shared" si="5"/>
        <v>#REF!</v>
      </c>
    </row>
    <row r="537" spans="2:3" ht="16" x14ac:dyDescent="0.2">
      <c r="B537" s="41" t="e">
        <f>IF(H537="credit",#REF!, (#REF!* -1))</f>
        <v>#REF!</v>
      </c>
      <c r="C537" s="497" t="e">
        <f t="shared" si="5"/>
        <v>#REF!</v>
      </c>
    </row>
    <row r="538" spans="2:3" ht="16" x14ac:dyDescent="0.2">
      <c r="B538" s="41" t="e">
        <f>IF(H538="credit",#REF!, (#REF!* -1))</f>
        <v>#REF!</v>
      </c>
      <c r="C538" s="497" t="e">
        <f t="shared" si="5"/>
        <v>#REF!</v>
      </c>
    </row>
    <row r="539" spans="2:3" ht="16" x14ac:dyDescent="0.2">
      <c r="B539" s="41" t="e">
        <f>IF(H539="credit",#REF!, (#REF!* -1))</f>
        <v>#REF!</v>
      </c>
      <c r="C539" s="497" t="e">
        <f t="shared" si="5"/>
        <v>#REF!</v>
      </c>
    </row>
    <row r="540" spans="2:3" ht="16" x14ac:dyDescent="0.2">
      <c r="B540" s="41" t="e">
        <f>IF(H540="credit",#REF!, (#REF!* -1))</f>
        <v>#REF!</v>
      </c>
      <c r="C540" s="497" t="e">
        <f t="shared" si="5"/>
        <v>#REF!</v>
      </c>
    </row>
    <row r="541" spans="2:3" ht="16" x14ac:dyDescent="0.2">
      <c r="B541" s="41" t="e">
        <f>IF(H541="credit",#REF!, (#REF!* -1))</f>
        <v>#REF!</v>
      </c>
      <c r="C541" s="497" t="e">
        <f t="shared" si="5"/>
        <v>#REF!</v>
      </c>
    </row>
    <row r="542" spans="2:3" ht="16" x14ac:dyDescent="0.2">
      <c r="B542" s="41" t="e">
        <f>IF(H542="credit",#REF!, (#REF!* -1))</f>
        <v>#REF!</v>
      </c>
      <c r="C542" s="497" t="e">
        <f t="shared" si="5"/>
        <v>#REF!</v>
      </c>
    </row>
    <row r="543" spans="2:3" ht="16" x14ac:dyDescent="0.2">
      <c r="B543" s="41" t="e">
        <f>IF(H543="credit",#REF!, (#REF!* -1))</f>
        <v>#REF!</v>
      </c>
      <c r="C543" s="497" t="e">
        <f t="shared" si="5"/>
        <v>#REF!</v>
      </c>
    </row>
    <row r="544" spans="2:3" ht="16" x14ac:dyDescent="0.2">
      <c r="B544" s="41" t="e">
        <f>IF(H544="credit",#REF!, (#REF!* -1))</f>
        <v>#REF!</v>
      </c>
      <c r="C544" s="497" t="e">
        <f t="shared" si="5"/>
        <v>#REF!</v>
      </c>
    </row>
    <row r="545" spans="2:3" ht="16" x14ac:dyDescent="0.2">
      <c r="B545" s="41" t="e">
        <f>IF(H545="credit",#REF!, (#REF!* -1))</f>
        <v>#REF!</v>
      </c>
      <c r="C545" s="497" t="e">
        <f t="shared" si="5"/>
        <v>#REF!</v>
      </c>
    </row>
    <row r="546" spans="2:3" ht="16" x14ac:dyDescent="0.2">
      <c r="B546" s="41" t="e">
        <f>IF(H546="credit",#REF!, (#REF!* -1))</f>
        <v>#REF!</v>
      </c>
      <c r="C546" s="497" t="e">
        <f t="shared" si="5"/>
        <v>#REF!</v>
      </c>
    </row>
    <row r="547" spans="2:3" ht="16" x14ac:dyDescent="0.2">
      <c r="B547" s="41" t="e">
        <f>IF(H547="credit",#REF!, (#REF!* -1))</f>
        <v>#REF!</v>
      </c>
      <c r="C547" s="497" t="e">
        <f t="shared" si="5"/>
        <v>#REF!</v>
      </c>
    </row>
    <row r="548" spans="2:3" ht="16" x14ac:dyDescent="0.2">
      <c r="B548" s="41" t="e">
        <f>IF(H548="credit",#REF!, (#REF!* -1))</f>
        <v>#REF!</v>
      </c>
      <c r="C548" s="497" t="e">
        <f t="shared" si="5"/>
        <v>#REF!</v>
      </c>
    </row>
    <row r="549" spans="2:3" ht="16" x14ac:dyDescent="0.2">
      <c r="B549" s="41" t="e">
        <f>IF(H549="credit",#REF!, (#REF!* -1))</f>
        <v>#REF!</v>
      </c>
      <c r="C549" s="497" t="e">
        <f t="shared" si="5"/>
        <v>#REF!</v>
      </c>
    </row>
    <row r="550" spans="2:3" ht="16" x14ac:dyDescent="0.2">
      <c r="B550" s="41" t="e">
        <f>IF(H550="credit",#REF!, (#REF!* -1))</f>
        <v>#REF!</v>
      </c>
      <c r="C550" s="497" t="e">
        <f t="shared" si="5"/>
        <v>#REF!</v>
      </c>
    </row>
    <row r="551" spans="2:3" ht="16" x14ac:dyDescent="0.2">
      <c r="B551" s="41" t="e">
        <f>IF(H551="credit",#REF!, (#REF!* -1))</f>
        <v>#REF!</v>
      </c>
      <c r="C551" s="497" t="e">
        <f t="shared" si="5"/>
        <v>#REF!</v>
      </c>
    </row>
    <row r="552" spans="2:3" ht="16" x14ac:dyDescent="0.2">
      <c r="B552" s="41" t="e">
        <f>IF(H552="credit",#REF!, (#REF!* -1))</f>
        <v>#REF!</v>
      </c>
      <c r="C552" s="497" t="e">
        <f t="shared" si="5"/>
        <v>#REF!</v>
      </c>
    </row>
    <row r="553" spans="2:3" ht="16" x14ac:dyDescent="0.2">
      <c r="B553" s="41" t="e">
        <f>IF(H553="credit",#REF!, (#REF!* -1))</f>
        <v>#REF!</v>
      </c>
      <c r="C553" s="497" t="e">
        <f t="shared" si="5"/>
        <v>#REF!</v>
      </c>
    </row>
    <row r="554" spans="2:3" ht="16" x14ac:dyDescent="0.2">
      <c r="B554" s="41" t="e">
        <f>IF(H554="credit",#REF!, (#REF!* -1))</f>
        <v>#REF!</v>
      </c>
      <c r="C554" s="497" t="e">
        <f t="shared" si="5"/>
        <v>#REF!</v>
      </c>
    </row>
    <row r="555" spans="2:3" ht="16" x14ac:dyDescent="0.2">
      <c r="B555" s="41" t="e">
        <f>IF(H555="credit",#REF!, (#REF!* -1))</f>
        <v>#REF!</v>
      </c>
      <c r="C555" s="497" t="e">
        <f t="shared" si="5"/>
        <v>#REF!</v>
      </c>
    </row>
    <row r="556" spans="2:3" ht="16" x14ac:dyDescent="0.2">
      <c r="B556" s="41" t="e">
        <f>IF(H556="credit",#REF!, (#REF!* -1))</f>
        <v>#REF!</v>
      </c>
      <c r="C556" s="497" t="e">
        <f t="shared" si="5"/>
        <v>#REF!</v>
      </c>
    </row>
    <row r="557" spans="2:3" ht="16" x14ac:dyDescent="0.2">
      <c r="B557" s="41" t="e">
        <f>IF(H557="credit",#REF!, (#REF!* -1))</f>
        <v>#REF!</v>
      </c>
      <c r="C557" s="497" t="e">
        <f t="shared" si="5"/>
        <v>#REF!</v>
      </c>
    </row>
    <row r="558" spans="2:3" ht="16" x14ac:dyDescent="0.2">
      <c r="B558" s="41" t="e">
        <f>IF(H558="credit",#REF!, (#REF!* -1))</f>
        <v>#REF!</v>
      </c>
      <c r="C558" s="497" t="e">
        <f t="shared" si="5"/>
        <v>#REF!</v>
      </c>
    </row>
    <row r="559" spans="2:3" ht="16" x14ac:dyDescent="0.2">
      <c r="B559" s="41" t="e">
        <f>IF(H559="credit",#REF!, (#REF!* -1))</f>
        <v>#REF!</v>
      </c>
      <c r="C559" s="497" t="e">
        <f t="shared" si="5"/>
        <v>#REF!</v>
      </c>
    </row>
    <row r="560" spans="2:3" ht="16" x14ac:dyDescent="0.2">
      <c r="B560" s="41" t="e">
        <f>IF(H560="credit",#REF!, (#REF!* -1))</f>
        <v>#REF!</v>
      </c>
      <c r="C560" s="497" t="e">
        <f t="shared" si="5"/>
        <v>#REF!</v>
      </c>
    </row>
    <row r="561" spans="2:3" ht="16" x14ac:dyDescent="0.2">
      <c r="B561" s="41" t="e">
        <f>IF(H561="credit",#REF!, (#REF!* -1))</f>
        <v>#REF!</v>
      </c>
      <c r="C561" s="497" t="e">
        <f t="shared" si="5"/>
        <v>#REF!</v>
      </c>
    </row>
    <row r="562" spans="2:3" ht="16" x14ac:dyDescent="0.2">
      <c r="B562" s="41" t="e">
        <f>IF(H562="credit",#REF!, (#REF!* -1))</f>
        <v>#REF!</v>
      </c>
      <c r="C562" s="497" t="e">
        <f t="shared" si="5"/>
        <v>#REF!</v>
      </c>
    </row>
    <row r="563" spans="2:3" ht="16" x14ac:dyDescent="0.2">
      <c r="B563" s="41" t="e">
        <f>IF(H563="credit",#REF!, (#REF!* -1))</f>
        <v>#REF!</v>
      </c>
      <c r="C563" s="497" t="e">
        <f t="shared" si="5"/>
        <v>#REF!</v>
      </c>
    </row>
    <row r="564" spans="2:3" ht="16" x14ac:dyDescent="0.2">
      <c r="B564" s="41" t="e">
        <f>IF(H564="credit",#REF!, (#REF!* -1))</f>
        <v>#REF!</v>
      </c>
      <c r="C564" s="497" t="e">
        <f t="shared" si="5"/>
        <v>#REF!</v>
      </c>
    </row>
    <row r="565" spans="2:3" ht="16" x14ac:dyDescent="0.2">
      <c r="B565" s="41" t="e">
        <f>IF(H565="credit",#REF!, (#REF!* -1))</f>
        <v>#REF!</v>
      </c>
      <c r="C565" s="497" t="e">
        <f t="shared" si="5"/>
        <v>#REF!</v>
      </c>
    </row>
    <row r="566" spans="2:3" ht="16" x14ac:dyDescent="0.2">
      <c r="B566" s="41" t="e">
        <f>IF(H566="credit",#REF!, (#REF!* -1))</f>
        <v>#REF!</v>
      </c>
      <c r="C566" s="497" t="e">
        <f t="shared" si="5"/>
        <v>#REF!</v>
      </c>
    </row>
    <row r="567" spans="2:3" ht="16" x14ac:dyDescent="0.2">
      <c r="B567" s="41" t="e">
        <f>IF(H567="credit",#REF!, (#REF!* -1))</f>
        <v>#REF!</v>
      </c>
      <c r="C567" s="497" t="e">
        <f t="shared" si="5"/>
        <v>#REF!</v>
      </c>
    </row>
    <row r="568" spans="2:3" ht="16" x14ac:dyDescent="0.2">
      <c r="B568" s="41" t="e">
        <f>IF(H568="credit",#REF!, (#REF!* -1))</f>
        <v>#REF!</v>
      </c>
      <c r="C568" s="497" t="e">
        <f t="shared" si="5"/>
        <v>#REF!</v>
      </c>
    </row>
    <row r="569" spans="2:3" ht="16" x14ac:dyDescent="0.2">
      <c r="B569" s="41" t="e">
        <f>IF(H569="credit",#REF!, (#REF!* -1))</f>
        <v>#REF!</v>
      </c>
      <c r="C569" s="497" t="e">
        <f t="shared" si="5"/>
        <v>#REF!</v>
      </c>
    </row>
    <row r="570" spans="2:3" ht="16" x14ac:dyDescent="0.2">
      <c r="B570" s="41" t="e">
        <f>IF(H570="credit",#REF!, (#REF!* -1))</f>
        <v>#REF!</v>
      </c>
      <c r="C570" s="497" t="e">
        <f t="shared" si="5"/>
        <v>#REF!</v>
      </c>
    </row>
    <row r="571" spans="2:3" ht="16" x14ac:dyDescent="0.2">
      <c r="B571" s="41" t="e">
        <f>IF(H571="credit",#REF!, (#REF!* -1))</f>
        <v>#REF!</v>
      </c>
      <c r="C571" s="497" t="e">
        <f t="shared" si="5"/>
        <v>#REF!</v>
      </c>
    </row>
    <row r="572" spans="2:3" ht="16" x14ac:dyDescent="0.2">
      <c r="B572" s="41" t="e">
        <f>IF(H572="credit",#REF!, (#REF!* -1))</f>
        <v>#REF!</v>
      </c>
      <c r="C572" s="497" t="e">
        <f t="shared" si="5"/>
        <v>#REF!</v>
      </c>
    </row>
    <row r="573" spans="2:3" ht="16" x14ac:dyDescent="0.2">
      <c r="B573" s="41" t="e">
        <f>IF(H573="credit",#REF!, (#REF!* -1))</f>
        <v>#REF!</v>
      </c>
      <c r="C573" s="497" t="e">
        <f t="shared" si="5"/>
        <v>#REF!</v>
      </c>
    </row>
    <row r="574" spans="2:3" ht="16" x14ac:dyDescent="0.2">
      <c r="B574" s="41" t="e">
        <f>IF(H574="credit",#REF!, (#REF!* -1))</f>
        <v>#REF!</v>
      </c>
      <c r="C574" s="497" t="e">
        <f t="shared" si="5"/>
        <v>#REF!</v>
      </c>
    </row>
    <row r="575" spans="2:3" ht="16" x14ac:dyDescent="0.2">
      <c r="B575" s="41" t="e">
        <f>IF(H575="credit",#REF!, (#REF!* -1))</f>
        <v>#REF!</v>
      </c>
      <c r="C575" s="497" t="e">
        <f t="shared" si="5"/>
        <v>#REF!</v>
      </c>
    </row>
    <row r="576" spans="2:3" ht="16" x14ac:dyDescent="0.2">
      <c r="B576" s="41" t="e">
        <f>IF(H576="credit",#REF!, (#REF!* -1))</f>
        <v>#REF!</v>
      </c>
      <c r="C576" s="497" t="e">
        <f t="shared" si="5"/>
        <v>#REF!</v>
      </c>
    </row>
    <row r="577" spans="2:3" ht="16" x14ac:dyDescent="0.2">
      <c r="B577" s="41" t="e">
        <f>IF(H577="credit",#REF!, (#REF!* -1))</f>
        <v>#REF!</v>
      </c>
      <c r="C577" s="497" t="e">
        <f t="shared" si="5"/>
        <v>#REF!</v>
      </c>
    </row>
    <row r="578" spans="2:3" ht="16" x14ac:dyDescent="0.2">
      <c r="B578" s="41" t="e">
        <f>IF(H578="credit",#REF!, (#REF!* -1))</f>
        <v>#REF!</v>
      </c>
      <c r="C578" s="497" t="e">
        <f t="shared" si="5"/>
        <v>#REF!</v>
      </c>
    </row>
    <row r="579" spans="2:3" ht="16" x14ac:dyDescent="0.2">
      <c r="B579" s="41" t="e">
        <f>IF(H579="credit",#REF!, (#REF!* -1))</f>
        <v>#REF!</v>
      </c>
      <c r="C579" s="497" t="e">
        <f t="shared" si="5"/>
        <v>#REF!</v>
      </c>
    </row>
    <row r="580" spans="2:3" ht="16" x14ac:dyDescent="0.2">
      <c r="B580" s="41" t="e">
        <f>IF(H580="credit",#REF!, (#REF!* -1))</f>
        <v>#REF!</v>
      </c>
      <c r="C580" s="497" t="e">
        <f t="shared" si="5"/>
        <v>#REF!</v>
      </c>
    </row>
    <row r="581" spans="2:3" ht="16" x14ac:dyDescent="0.2">
      <c r="B581" s="41" t="e">
        <f>IF(H581="credit",#REF!, (#REF!* -1))</f>
        <v>#REF!</v>
      </c>
      <c r="C581" s="497" t="e">
        <f t="shared" si="5"/>
        <v>#REF!</v>
      </c>
    </row>
    <row r="582" spans="2:3" ht="16" x14ac:dyDescent="0.2">
      <c r="B582" s="41" t="e">
        <f>IF(H582="credit",#REF!, (#REF!* -1))</f>
        <v>#REF!</v>
      </c>
      <c r="C582" s="497" t="e">
        <f t="shared" si="5"/>
        <v>#REF!</v>
      </c>
    </row>
    <row r="583" spans="2:3" ht="16" x14ac:dyDescent="0.2">
      <c r="B583" s="41" t="e">
        <f>IF(H583="credit",#REF!, (#REF!* -1))</f>
        <v>#REF!</v>
      </c>
      <c r="C583" s="497" t="e">
        <f t="shared" si="5"/>
        <v>#REF!</v>
      </c>
    </row>
    <row r="584" spans="2:3" ht="16" x14ac:dyDescent="0.2">
      <c r="B584" s="41" t="e">
        <f>IF(H584="credit",#REF!, (#REF!* -1))</f>
        <v>#REF!</v>
      </c>
      <c r="C584" s="497" t="e">
        <f t="shared" si="5"/>
        <v>#REF!</v>
      </c>
    </row>
    <row r="585" spans="2:3" ht="16" x14ac:dyDescent="0.2">
      <c r="B585" s="41" t="e">
        <f>IF(H585="credit",#REF!, (#REF!* -1))</f>
        <v>#REF!</v>
      </c>
      <c r="C585" s="497" t="e">
        <f t="shared" si="5"/>
        <v>#REF!</v>
      </c>
    </row>
    <row r="586" spans="2:3" ht="16" x14ac:dyDescent="0.2">
      <c r="B586" s="41" t="e">
        <f>IF(H586="credit",#REF!, (#REF!* -1))</f>
        <v>#REF!</v>
      </c>
      <c r="C586" s="497" t="e">
        <f t="shared" si="5"/>
        <v>#REF!</v>
      </c>
    </row>
    <row r="587" spans="2:3" ht="16" x14ac:dyDescent="0.2">
      <c r="B587" s="41" t="e">
        <f>IF(H587="credit",#REF!, (#REF!* -1))</f>
        <v>#REF!</v>
      </c>
      <c r="C587" s="497" t="e">
        <f t="shared" ref="C587:C650" si="6">C586+B587</f>
        <v>#REF!</v>
      </c>
    </row>
    <row r="588" spans="2:3" ht="16" x14ac:dyDescent="0.2">
      <c r="B588" s="41" t="e">
        <f>IF(H588="credit",#REF!, (#REF!* -1))</f>
        <v>#REF!</v>
      </c>
      <c r="C588" s="497" t="e">
        <f t="shared" si="6"/>
        <v>#REF!</v>
      </c>
    </row>
    <row r="589" spans="2:3" ht="16" x14ac:dyDescent="0.2">
      <c r="B589" s="41" t="e">
        <f>IF(H589="credit",#REF!, (#REF!* -1))</f>
        <v>#REF!</v>
      </c>
      <c r="C589" s="497" t="e">
        <f t="shared" si="6"/>
        <v>#REF!</v>
      </c>
    </row>
    <row r="590" spans="2:3" ht="16" x14ac:dyDescent="0.2">
      <c r="B590" s="41" t="e">
        <f>IF(H590="credit",#REF!, (#REF!* -1))</f>
        <v>#REF!</v>
      </c>
      <c r="C590" s="497" t="e">
        <f t="shared" si="6"/>
        <v>#REF!</v>
      </c>
    </row>
    <row r="591" spans="2:3" ht="16" x14ac:dyDescent="0.2">
      <c r="B591" s="41" t="e">
        <f>IF(H591="credit",#REF!, (#REF!* -1))</f>
        <v>#REF!</v>
      </c>
      <c r="C591" s="497" t="e">
        <f t="shared" si="6"/>
        <v>#REF!</v>
      </c>
    </row>
    <row r="592" spans="2:3" ht="16" x14ac:dyDescent="0.2">
      <c r="B592" s="41" t="e">
        <f>IF(H592="credit",#REF!, (#REF!* -1))</f>
        <v>#REF!</v>
      </c>
      <c r="C592" s="497" t="e">
        <f t="shared" si="6"/>
        <v>#REF!</v>
      </c>
    </row>
    <row r="593" spans="2:3" ht="16" x14ac:dyDescent="0.2">
      <c r="B593" s="41" t="e">
        <f>IF(H593="credit",#REF!, (#REF!* -1))</f>
        <v>#REF!</v>
      </c>
      <c r="C593" s="497" t="e">
        <f t="shared" si="6"/>
        <v>#REF!</v>
      </c>
    </row>
    <row r="594" spans="2:3" ht="16" x14ac:dyDescent="0.2">
      <c r="B594" s="41" t="e">
        <f>IF(H594="credit",#REF!, (#REF!* -1))</f>
        <v>#REF!</v>
      </c>
      <c r="C594" s="497" t="e">
        <f t="shared" si="6"/>
        <v>#REF!</v>
      </c>
    </row>
    <row r="595" spans="2:3" ht="16" x14ac:dyDescent="0.2">
      <c r="B595" s="41" t="e">
        <f>IF(H595="credit",#REF!, (#REF!* -1))</f>
        <v>#REF!</v>
      </c>
      <c r="C595" s="497" t="e">
        <f t="shared" si="6"/>
        <v>#REF!</v>
      </c>
    </row>
    <row r="596" spans="2:3" ht="16" x14ac:dyDescent="0.2">
      <c r="B596" s="41" t="e">
        <f>IF(H596="credit",#REF!, (#REF!* -1))</f>
        <v>#REF!</v>
      </c>
      <c r="C596" s="497" t="e">
        <f t="shared" si="6"/>
        <v>#REF!</v>
      </c>
    </row>
    <row r="597" spans="2:3" ht="16" x14ac:dyDescent="0.2">
      <c r="B597" s="41" t="e">
        <f>IF(H597="credit",#REF!, (#REF!* -1))</f>
        <v>#REF!</v>
      </c>
      <c r="C597" s="497" t="e">
        <f t="shared" si="6"/>
        <v>#REF!</v>
      </c>
    </row>
    <row r="598" spans="2:3" ht="16" x14ac:dyDescent="0.2">
      <c r="B598" s="41" t="e">
        <f>IF(H598="credit",#REF!, (#REF!* -1))</f>
        <v>#REF!</v>
      </c>
      <c r="C598" s="497" t="e">
        <f t="shared" si="6"/>
        <v>#REF!</v>
      </c>
    </row>
    <row r="599" spans="2:3" ht="16" x14ac:dyDescent="0.2">
      <c r="B599" s="41" t="e">
        <f>IF(H599="credit",#REF!, (#REF!* -1))</f>
        <v>#REF!</v>
      </c>
      <c r="C599" s="497" t="e">
        <f t="shared" si="6"/>
        <v>#REF!</v>
      </c>
    </row>
    <row r="600" spans="2:3" ht="16" x14ac:dyDescent="0.2">
      <c r="B600" s="41" t="e">
        <f>IF(H600="credit",#REF!, (#REF!* -1))</f>
        <v>#REF!</v>
      </c>
      <c r="C600" s="497" t="e">
        <f t="shared" si="6"/>
        <v>#REF!</v>
      </c>
    </row>
    <row r="601" spans="2:3" ht="16" x14ac:dyDescent="0.2">
      <c r="B601" s="41" t="e">
        <f>IF(H601="credit",#REF!, (#REF!* -1))</f>
        <v>#REF!</v>
      </c>
      <c r="C601" s="497" t="e">
        <f t="shared" si="6"/>
        <v>#REF!</v>
      </c>
    </row>
    <row r="602" spans="2:3" ht="16" x14ac:dyDescent="0.2">
      <c r="B602" s="41" t="e">
        <f>IF(H602="credit",#REF!, (#REF!* -1))</f>
        <v>#REF!</v>
      </c>
      <c r="C602" s="497" t="e">
        <f t="shared" si="6"/>
        <v>#REF!</v>
      </c>
    </row>
    <row r="603" spans="2:3" ht="16" x14ac:dyDescent="0.2">
      <c r="B603" s="41" t="e">
        <f>IF(H603="credit",#REF!, (#REF!* -1))</f>
        <v>#REF!</v>
      </c>
      <c r="C603" s="497" t="e">
        <f t="shared" si="6"/>
        <v>#REF!</v>
      </c>
    </row>
    <row r="604" spans="2:3" ht="16" x14ac:dyDescent="0.2">
      <c r="B604" s="41" t="e">
        <f>IF(H604="credit",#REF!, (#REF!* -1))</f>
        <v>#REF!</v>
      </c>
      <c r="C604" s="497" t="e">
        <f t="shared" si="6"/>
        <v>#REF!</v>
      </c>
    </row>
    <row r="605" spans="2:3" ht="16" x14ac:dyDescent="0.2">
      <c r="B605" s="41" t="e">
        <f>IF(H605="credit",#REF!, (#REF!* -1))</f>
        <v>#REF!</v>
      </c>
      <c r="C605" s="497" t="e">
        <f t="shared" si="6"/>
        <v>#REF!</v>
      </c>
    </row>
    <row r="606" spans="2:3" ht="16" x14ac:dyDescent="0.2">
      <c r="B606" s="41" t="e">
        <f>IF(H606="credit",#REF!, (#REF!* -1))</f>
        <v>#REF!</v>
      </c>
      <c r="C606" s="497" t="e">
        <f t="shared" si="6"/>
        <v>#REF!</v>
      </c>
    </row>
    <row r="607" spans="2:3" ht="16" x14ac:dyDescent="0.2">
      <c r="B607" s="41" t="e">
        <f>IF(H607="credit",#REF!, (#REF!* -1))</f>
        <v>#REF!</v>
      </c>
      <c r="C607" s="497" t="e">
        <f t="shared" si="6"/>
        <v>#REF!</v>
      </c>
    </row>
    <row r="608" spans="2:3" ht="16" x14ac:dyDescent="0.2">
      <c r="B608" s="41" t="e">
        <f>IF(H608="credit",#REF!, (#REF!* -1))</f>
        <v>#REF!</v>
      </c>
      <c r="C608" s="497" t="e">
        <f t="shared" si="6"/>
        <v>#REF!</v>
      </c>
    </row>
    <row r="609" spans="2:3" ht="16" x14ac:dyDescent="0.2">
      <c r="B609" s="41" t="e">
        <f>IF(H609="credit",#REF!, (#REF!* -1))</f>
        <v>#REF!</v>
      </c>
      <c r="C609" s="497" t="e">
        <f t="shared" si="6"/>
        <v>#REF!</v>
      </c>
    </row>
    <row r="610" spans="2:3" ht="16" x14ac:dyDescent="0.2">
      <c r="B610" s="41" t="e">
        <f>IF(H610="credit",#REF!, (#REF!* -1))</f>
        <v>#REF!</v>
      </c>
      <c r="C610" s="497" t="e">
        <f t="shared" si="6"/>
        <v>#REF!</v>
      </c>
    </row>
    <row r="611" spans="2:3" ht="16" x14ac:dyDescent="0.2">
      <c r="B611" s="41" t="e">
        <f>IF(H611="credit",#REF!, (#REF!* -1))</f>
        <v>#REF!</v>
      </c>
      <c r="C611" s="497" t="e">
        <f t="shared" si="6"/>
        <v>#REF!</v>
      </c>
    </row>
    <row r="612" spans="2:3" ht="16" x14ac:dyDescent="0.2">
      <c r="B612" s="41" t="e">
        <f>IF(H612="credit",#REF!, (#REF!* -1))</f>
        <v>#REF!</v>
      </c>
      <c r="C612" s="497" t="e">
        <f t="shared" si="6"/>
        <v>#REF!</v>
      </c>
    </row>
    <row r="613" spans="2:3" ht="16" x14ac:dyDescent="0.2">
      <c r="B613" s="41" t="e">
        <f>IF(H613="credit",#REF!, (#REF!* -1))</f>
        <v>#REF!</v>
      </c>
      <c r="C613" s="497" t="e">
        <f t="shared" si="6"/>
        <v>#REF!</v>
      </c>
    </row>
    <row r="614" spans="2:3" ht="16" x14ac:dyDescent="0.2">
      <c r="B614" s="41" t="e">
        <f>IF(H614="credit",#REF!, (#REF!* -1))</f>
        <v>#REF!</v>
      </c>
      <c r="C614" s="497" t="e">
        <f t="shared" si="6"/>
        <v>#REF!</v>
      </c>
    </row>
    <row r="615" spans="2:3" ht="16" x14ac:dyDescent="0.2">
      <c r="B615" s="41" t="e">
        <f>IF(H615="credit",#REF!, (#REF!* -1))</f>
        <v>#REF!</v>
      </c>
      <c r="C615" s="497" t="e">
        <f t="shared" si="6"/>
        <v>#REF!</v>
      </c>
    </row>
    <row r="616" spans="2:3" ht="16" x14ac:dyDescent="0.2">
      <c r="B616" s="41" t="e">
        <f>IF(H616="credit",#REF!, (#REF!* -1))</f>
        <v>#REF!</v>
      </c>
      <c r="C616" s="497" t="e">
        <f t="shared" si="6"/>
        <v>#REF!</v>
      </c>
    </row>
    <row r="617" spans="2:3" ht="16" x14ac:dyDescent="0.2">
      <c r="B617" s="41" t="e">
        <f>IF(H617="credit",#REF!, (#REF!* -1))</f>
        <v>#REF!</v>
      </c>
      <c r="C617" s="497" t="e">
        <f t="shared" si="6"/>
        <v>#REF!</v>
      </c>
    </row>
    <row r="618" spans="2:3" ht="16" x14ac:dyDescent="0.2">
      <c r="B618" s="41" t="e">
        <f>IF(H618="credit",#REF!, (#REF!* -1))</f>
        <v>#REF!</v>
      </c>
      <c r="C618" s="497" t="e">
        <f t="shared" si="6"/>
        <v>#REF!</v>
      </c>
    </row>
    <row r="619" spans="2:3" ht="16" x14ac:dyDescent="0.2">
      <c r="B619" s="41" t="e">
        <f>IF(H619="credit",#REF!, (#REF!* -1))</f>
        <v>#REF!</v>
      </c>
      <c r="C619" s="497" t="e">
        <f t="shared" si="6"/>
        <v>#REF!</v>
      </c>
    </row>
    <row r="620" spans="2:3" ht="16" x14ac:dyDescent="0.2">
      <c r="B620" s="41" t="e">
        <f>IF(H620="credit",#REF!, (#REF!* -1))</f>
        <v>#REF!</v>
      </c>
      <c r="C620" s="497" t="e">
        <f t="shared" si="6"/>
        <v>#REF!</v>
      </c>
    </row>
    <row r="621" spans="2:3" ht="16" x14ac:dyDescent="0.2">
      <c r="B621" s="41" t="e">
        <f>IF(H621="credit",#REF!, (#REF!* -1))</f>
        <v>#REF!</v>
      </c>
      <c r="C621" s="497" t="e">
        <f t="shared" si="6"/>
        <v>#REF!</v>
      </c>
    </row>
    <row r="622" spans="2:3" ht="16" x14ac:dyDescent="0.2">
      <c r="B622" s="41" t="e">
        <f>IF(H622="credit",#REF!, (#REF!* -1))</f>
        <v>#REF!</v>
      </c>
      <c r="C622" s="497" t="e">
        <f t="shared" si="6"/>
        <v>#REF!</v>
      </c>
    </row>
    <row r="623" spans="2:3" ht="16" x14ac:dyDescent="0.2">
      <c r="B623" s="41" t="e">
        <f>IF(H623="credit",#REF!, (#REF!* -1))</f>
        <v>#REF!</v>
      </c>
      <c r="C623" s="497" t="e">
        <f t="shared" si="6"/>
        <v>#REF!</v>
      </c>
    </row>
    <row r="624" spans="2:3" ht="16" x14ac:dyDescent="0.2">
      <c r="B624" s="41" t="e">
        <f>IF(H624="credit",#REF!, (#REF!* -1))</f>
        <v>#REF!</v>
      </c>
      <c r="C624" s="497" t="e">
        <f t="shared" si="6"/>
        <v>#REF!</v>
      </c>
    </row>
    <row r="625" spans="2:3" ht="16" x14ac:dyDescent="0.2">
      <c r="B625" s="41" t="e">
        <f>IF(H625="credit",#REF!, (#REF!* -1))</f>
        <v>#REF!</v>
      </c>
      <c r="C625" s="497" t="e">
        <f t="shared" si="6"/>
        <v>#REF!</v>
      </c>
    </row>
    <row r="626" spans="2:3" ht="16" x14ac:dyDescent="0.2">
      <c r="B626" s="41" t="e">
        <f>IF(H626="credit",#REF!, (#REF!* -1))</f>
        <v>#REF!</v>
      </c>
      <c r="C626" s="497" t="e">
        <f t="shared" si="6"/>
        <v>#REF!</v>
      </c>
    </row>
    <row r="627" spans="2:3" ht="16" x14ac:dyDescent="0.2">
      <c r="B627" s="41" t="e">
        <f>IF(H627="credit",#REF!, (#REF!* -1))</f>
        <v>#REF!</v>
      </c>
      <c r="C627" s="497" t="e">
        <f t="shared" si="6"/>
        <v>#REF!</v>
      </c>
    </row>
    <row r="628" spans="2:3" ht="16" x14ac:dyDescent="0.2">
      <c r="B628" s="41" t="e">
        <f>IF(H628="credit",#REF!, (#REF!* -1))</f>
        <v>#REF!</v>
      </c>
      <c r="C628" s="497" t="e">
        <f t="shared" si="6"/>
        <v>#REF!</v>
      </c>
    </row>
    <row r="629" spans="2:3" ht="16" x14ac:dyDescent="0.2">
      <c r="B629" s="41" t="e">
        <f>IF(H629="credit",#REF!, (#REF!* -1))</f>
        <v>#REF!</v>
      </c>
      <c r="C629" s="497" t="e">
        <f t="shared" si="6"/>
        <v>#REF!</v>
      </c>
    </row>
    <row r="630" spans="2:3" ht="16" x14ac:dyDescent="0.2">
      <c r="B630" s="41" t="e">
        <f>IF(H630="credit",#REF!, (#REF!* -1))</f>
        <v>#REF!</v>
      </c>
      <c r="C630" s="497" t="e">
        <f t="shared" si="6"/>
        <v>#REF!</v>
      </c>
    </row>
    <row r="631" spans="2:3" ht="16" x14ac:dyDescent="0.2">
      <c r="B631" s="41" t="e">
        <f>IF(H631="credit",#REF!, (#REF!* -1))</f>
        <v>#REF!</v>
      </c>
      <c r="C631" s="497" t="e">
        <f t="shared" si="6"/>
        <v>#REF!</v>
      </c>
    </row>
    <row r="632" spans="2:3" ht="16" x14ac:dyDescent="0.2">
      <c r="B632" s="41" t="e">
        <f>IF(H632="credit",#REF!, (#REF!* -1))</f>
        <v>#REF!</v>
      </c>
      <c r="C632" s="497" t="e">
        <f t="shared" si="6"/>
        <v>#REF!</v>
      </c>
    </row>
    <row r="633" spans="2:3" ht="16" x14ac:dyDescent="0.2">
      <c r="B633" s="41" t="e">
        <f>IF(H633="credit",#REF!, (#REF!* -1))</f>
        <v>#REF!</v>
      </c>
      <c r="C633" s="497" t="e">
        <f t="shared" si="6"/>
        <v>#REF!</v>
      </c>
    </row>
    <row r="634" spans="2:3" ht="16" x14ac:dyDescent="0.2">
      <c r="B634" s="41" t="e">
        <f>IF(H634="credit",#REF!, (#REF!* -1))</f>
        <v>#REF!</v>
      </c>
      <c r="C634" s="497" t="e">
        <f t="shared" si="6"/>
        <v>#REF!</v>
      </c>
    </row>
    <row r="635" spans="2:3" ht="16" x14ac:dyDescent="0.2">
      <c r="B635" s="41" t="e">
        <f>IF(H635="credit",#REF!, (#REF!* -1))</f>
        <v>#REF!</v>
      </c>
      <c r="C635" s="497" t="e">
        <f t="shared" si="6"/>
        <v>#REF!</v>
      </c>
    </row>
    <row r="636" spans="2:3" ht="16" x14ac:dyDescent="0.2">
      <c r="B636" s="41" t="e">
        <f>IF(H636="credit",#REF!, (#REF!* -1))</f>
        <v>#REF!</v>
      </c>
      <c r="C636" s="497" t="e">
        <f t="shared" si="6"/>
        <v>#REF!</v>
      </c>
    </row>
    <row r="637" spans="2:3" ht="16" x14ac:dyDescent="0.2">
      <c r="B637" s="41" t="e">
        <f>IF(H637="credit",#REF!, (#REF!* -1))</f>
        <v>#REF!</v>
      </c>
      <c r="C637" s="497" t="e">
        <f t="shared" si="6"/>
        <v>#REF!</v>
      </c>
    </row>
    <row r="638" spans="2:3" ht="16" x14ac:dyDescent="0.2">
      <c r="B638" s="41" t="e">
        <f>IF(H638="credit",#REF!, (#REF!* -1))</f>
        <v>#REF!</v>
      </c>
      <c r="C638" s="497" t="e">
        <f t="shared" si="6"/>
        <v>#REF!</v>
      </c>
    </row>
    <row r="639" spans="2:3" ht="16" x14ac:dyDescent="0.2">
      <c r="B639" s="41" t="e">
        <f>IF(H639="credit",#REF!, (#REF!* -1))</f>
        <v>#REF!</v>
      </c>
      <c r="C639" s="497" t="e">
        <f t="shared" si="6"/>
        <v>#REF!</v>
      </c>
    </row>
    <row r="640" spans="2:3" ht="16" x14ac:dyDescent="0.2">
      <c r="B640" s="41" t="e">
        <f>IF(H640="credit",#REF!, (#REF!* -1))</f>
        <v>#REF!</v>
      </c>
      <c r="C640" s="497" t="e">
        <f t="shared" si="6"/>
        <v>#REF!</v>
      </c>
    </row>
    <row r="641" spans="2:3" ht="16" x14ac:dyDescent="0.2">
      <c r="B641" s="41" t="e">
        <f>IF(H641="credit",#REF!, (#REF!* -1))</f>
        <v>#REF!</v>
      </c>
      <c r="C641" s="497" t="e">
        <f t="shared" si="6"/>
        <v>#REF!</v>
      </c>
    </row>
    <row r="642" spans="2:3" ht="16" x14ac:dyDescent="0.2">
      <c r="B642" s="41" t="e">
        <f>IF(H642="credit",#REF!, (#REF!* -1))</f>
        <v>#REF!</v>
      </c>
      <c r="C642" s="497" t="e">
        <f t="shared" si="6"/>
        <v>#REF!</v>
      </c>
    </row>
    <row r="643" spans="2:3" ht="16" x14ac:dyDescent="0.2">
      <c r="B643" s="41" t="e">
        <f>IF(H643="credit",#REF!, (#REF!* -1))</f>
        <v>#REF!</v>
      </c>
      <c r="C643" s="497" t="e">
        <f t="shared" si="6"/>
        <v>#REF!</v>
      </c>
    </row>
    <row r="644" spans="2:3" ht="16" x14ac:dyDescent="0.2">
      <c r="B644" s="41" t="e">
        <f>IF(H644="credit",#REF!, (#REF!* -1))</f>
        <v>#REF!</v>
      </c>
      <c r="C644" s="497" t="e">
        <f t="shared" si="6"/>
        <v>#REF!</v>
      </c>
    </row>
    <row r="645" spans="2:3" ht="16" x14ac:dyDescent="0.2">
      <c r="B645" s="41" t="e">
        <f>IF(H645="credit",#REF!, (#REF!* -1))</f>
        <v>#REF!</v>
      </c>
      <c r="C645" s="497" t="e">
        <f t="shared" si="6"/>
        <v>#REF!</v>
      </c>
    </row>
    <row r="646" spans="2:3" ht="16" x14ac:dyDescent="0.2">
      <c r="B646" s="41" t="e">
        <f>IF(H646="credit",#REF!, (#REF!* -1))</f>
        <v>#REF!</v>
      </c>
      <c r="C646" s="497" t="e">
        <f t="shared" si="6"/>
        <v>#REF!</v>
      </c>
    </row>
    <row r="647" spans="2:3" ht="16" x14ac:dyDescent="0.2">
      <c r="B647" s="41" t="e">
        <f>IF(H647="credit",#REF!, (#REF!* -1))</f>
        <v>#REF!</v>
      </c>
      <c r="C647" s="497" t="e">
        <f t="shared" si="6"/>
        <v>#REF!</v>
      </c>
    </row>
    <row r="648" spans="2:3" ht="16" x14ac:dyDescent="0.2">
      <c r="B648" s="41" t="e">
        <f>IF(H648="credit",#REF!, (#REF!* -1))</f>
        <v>#REF!</v>
      </c>
      <c r="C648" s="497" t="e">
        <f t="shared" si="6"/>
        <v>#REF!</v>
      </c>
    </row>
    <row r="649" spans="2:3" ht="16" x14ac:dyDescent="0.2">
      <c r="B649" s="41" t="e">
        <f>IF(H649="credit",#REF!, (#REF!* -1))</f>
        <v>#REF!</v>
      </c>
      <c r="C649" s="497" t="e">
        <f t="shared" si="6"/>
        <v>#REF!</v>
      </c>
    </row>
    <row r="650" spans="2:3" ht="16" x14ac:dyDescent="0.2">
      <c r="B650" s="41" t="e">
        <f>IF(H650="credit",#REF!, (#REF!* -1))</f>
        <v>#REF!</v>
      </c>
      <c r="C650" s="497" t="e">
        <f t="shared" si="6"/>
        <v>#REF!</v>
      </c>
    </row>
    <row r="651" spans="2:3" ht="16" x14ac:dyDescent="0.2">
      <c r="B651" s="41" t="e">
        <f>IF(H651="credit",#REF!, (#REF!* -1))</f>
        <v>#REF!</v>
      </c>
      <c r="C651" s="497" t="e">
        <f t="shared" ref="C651:C714" si="7">C650+B651</f>
        <v>#REF!</v>
      </c>
    </row>
    <row r="652" spans="2:3" ht="16" x14ac:dyDescent="0.2">
      <c r="B652" s="41" t="e">
        <f>IF(H652="credit",#REF!, (#REF!* -1))</f>
        <v>#REF!</v>
      </c>
      <c r="C652" s="497" t="e">
        <f t="shared" si="7"/>
        <v>#REF!</v>
      </c>
    </row>
    <row r="653" spans="2:3" ht="16" x14ac:dyDescent="0.2">
      <c r="B653" s="41" t="e">
        <f>IF(H653="credit",#REF!, (#REF!* -1))</f>
        <v>#REF!</v>
      </c>
      <c r="C653" s="497" t="e">
        <f t="shared" si="7"/>
        <v>#REF!</v>
      </c>
    </row>
    <row r="654" spans="2:3" ht="16" x14ac:dyDescent="0.2">
      <c r="B654" s="41" t="e">
        <f>IF(H654="credit",#REF!, (#REF!* -1))</f>
        <v>#REF!</v>
      </c>
      <c r="C654" s="497" t="e">
        <f t="shared" si="7"/>
        <v>#REF!</v>
      </c>
    </row>
    <row r="655" spans="2:3" ht="16" x14ac:dyDescent="0.2">
      <c r="B655" s="41" t="e">
        <f>IF(H655="credit",#REF!, (#REF!* -1))</f>
        <v>#REF!</v>
      </c>
      <c r="C655" s="497" t="e">
        <f t="shared" si="7"/>
        <v>#REF!</v>
      </c>
    </row>
    <row r="656" spans="2:3" ht="16" x14ac:dyDescent="0.2">
      <c r="B656" s="41" t="e">
        <f>IF(H656="credit",#REF!, (#REF!* -1))</f>
        <v>#REF!</v>
      </c>
      <c r="C656" s="497" t="e">
        <f t="shared" si="7"/>
        <v>#REF!</v>
      </c>
    </row>
    <row r="657" spans="2:3" ht="16" x14ac:dyDescent="0.2">
      <c r="B657" s="41" t="e">
        <f>IF(H657="credit",#REF!, (#REF!* -1))</f>
        <v>#REF!</v>
      </c>
      <c r="C657" s="497" t="e">
        <f t="shared" si="7"/>
        <v>#REF!</v>
      </c>
    </row>
    <row r="658" spans="2:3" ht="16" x14ac:dyDescent="0.2">
      <c r="B658" s="41" t="e">
        <f>IF(H658="credit",#REF!, (#REF!* -1))</f>
        <v>#REF!</v>
      </c>
      <c r="C658" s="497" t="e">
        <f t="shared" si="7"/>
        <v>#REF!</v>
      </c>
    </row>
    <row r="659" spans="2:3" ht="16" x14ac:dyDescent="0.2">
      <c r="B659" s="41" t="e">
        <f>IF(H659="credit",#REF!, (#REF!* -1))</f>
        <v>#REF!</v>
      </c>
      <c r="C659" s="497" t="e">
        <f t="shared" si="7"/>
        <v>#REF!</v>
      </c>
    </row>
    <row r="660" spans="2:3" ht="16" x14ac:dyDescent="0.2">
      <c r="B660" s="41" t="e">
        <f>IF(H660="credit",#REF!, (#REF!* -1))</f>
        <v>#REF!</v>
      </c>
      <c r="C660" s="497" t="e">
        <f t="shared" si="7"/>
        <v>#REF!</v>
      </c>
    </row>
    <row r="661" spans="2:3" ht="16" x14ac:dyDescent="0.2">
      <c r="B661" s="41" t="e">
        <f>IF(H661="credit",#REF!, (#REF!* -1))</f>
        <v>#REF!</v>
      </c>
      <c r="C661" s="497" t="e">
        <f t="shared" si="7"/>
        <v>#REF!</v>
      </c>
    </row>
    <row r="662" spans="2:3" ht="16" x14ac:dyDescent="0.2">
      <c r="B662" s="41" t="e">
        <f>IF(H662="credit",#REF!, (#REF!* -1))</f>
        <v>#REF!</v>
      </c>
      <c r="C662" s="497" t="e">
        <f t="shared" si="7"/>
        <v>#REF!</v>
      </c>
    </row>
    <row r="663" spans="2:3" ht="16" x14ac:dyDescent="0.2">
      <c r="B663" s="41" t="e">
        <f>IF(H663="credit",#REF!, (#REF!* -1))</f>
        <v>#REF!</v>
      </c>
      <c r="C663" s="497" t="e">
        <f t="shared" si="7"/>
        <v>#REF!</v>
      </c>
    </row>
    <row r="664" spans="2:3" ht="16" x14ac:dyDescent="0.2">
      <c r="B664" s="41" t="e">
        <f>IF(H664="credit",#REF!, (#REF!* -1))</f>
        <v>#REF!</v>
      </c>
      <c r="C664" s="497" t="e">
        <f t="shared" si="7"/>
        <v>#REF!</v>
      </c>
    </row>
    <row r="665" spans="2:3" ht="16" x14ac:dyDescent="0.2">
      <c r="B665" s="41" t="e">
        <f>IF(H665="credit",#REF!, (#REF!* -1))</f>
        <v>#REF!</v>
      </c>
      <c r="C665" s="497" t="e">
        <f t="shared" si="7"/>
        <v>#REF!</v>
      </c>
    </row>
    <row r="666" spans="2:3" ht="16" x14ac:dyDescent="0.2">
      <c r="B666" s="41" t="e">
        <f>IF(H666="credit",#REF!, (#REF!* -1))</f>
        <v>#REF!</v>
      </c>
      <c r="C666" s="497" t="e">
        <f t="shared" si="7"/>
        <v>#REF!</v>
      </c>
    </row>
    <row r="667" spans="2:3" ht="16" x14ac:dyDescent="0.2">
      <c r="B667" s="41" t="e">
        <f>IF(H667="credit",#REF!, (#REF!* -1))</f>
        <v>#REF!</v>
      </c>
      <c r="C667" s="497" t="e">
        <f t="shared" si="7"/>
        <v>#REF!</v>
      </c>
    </row>
    <row r="668" spans="2:3" ht="16" x14ac:dyDescent="0.2">
      <c r="B668" s="41" t="e">
        <f>IF(H668="credit",#REF!, (#REF!* -1))</f>
        <v>#REF!</v>
      </c>
      <c r="C668" s="497" t="e">
        <f t="shared" si="7"/>
        <v>#REF!</v>
      </c>
    </row>
    <row r="669" spans="2:3" ht="16" x14ac:dyDescent="0.2">
      <c r="B669" s="41" t="e">
        <f>IF(H669="credit",#REF!, (#REF!* -1))</f>
        <v>#REF!</v>
      </c>
      <c r="C669" s="497" t="e">
        <f t="shared" si="7"/>
        <v>#REF!</v>
      </c>
    </row>
    <row r="670" spans="2:3" ht="16" x14ac:dyDescent="0.2">
      <c r="B670" s="41" t="e">
        <f>IF(H670="credit",#REF!, (#REF!* -1))</f>
        <v>#REF!</v>
      </c>
      <c r="C670" s="497" t="e">
        <f t="shared" si="7"/>
        <v>#REF!</v>
      </c>
    </row>
    <row r="671" spans="2:3" ht="16" x14ac:dyDescent="0.2">
      <c r="B671" s="41" t="e">
        <f>IF(H671="credit",#REF!, (#REF!* -1))</f>
        <v>#REF!</v>
      </c>
      <c r="C671" s="497" t="e">
        <f t="shared" si="7"/>
        <v>#REF!</v>
      </c>
    </row>
    <row r="672" spans="2:3" ht="16" x14ac:dyDescent="0.2">
      <c r="B672" s="41" t="e">
        <f>IF(H672="credit",#REF!, (#REF!* -1))</f>
        <v>#REF!</v>
      </c>
      <c r="C672" s="497" t="e">
        <f t="shared" si="7"/>
        <v>#REF!</v>
      </c>
    </row>
    <row r="673" spans="2:3" ht="16" x14ac:dyDescent="0.2">
      <c r="B673" s="41" t="e">
        <f>IF(H673="credit",#REF!, (#REF!* -1))</f>
        <v>#REF!</v>
      </c>
      <c r="C673" s="497" t="e">
        <f t="shared" si="7"/>
        <v>#REF!</v>
      </c>
    </row>
    <row r="674" spans="2:3" ht="16" x14ac:dyDescent="0.2">
      <c r="B674" s="41" t="e">
        <f>IF(H674="credit",#REF!, (#REF!* -1))</f>
        <v>#REF!</v>
      </c>
      <c r="C674" s="497" t="e">
        <f t="shared" si="7"/>
        <v>#REF!</v>
      </c>
    </row>
    <row r="675" spans="2:3" ht="16" x14ac:dyDescent="0.2">
      <c r="B675" s="41" t="e">
        <f>IF(H675="credit",#REF!, (#REF!* -1))</f>
        <v>#REF!</v>
      </c>
      <c r="C675" s="497" t="e">
        <f t="shared" si="7"/>
        <v>#REF!</v>
      </c>
    </row>
    <row r="676" spans="2:3" ht="16" x14ac:dyDescent="0.2">
      <c r="B676" s="41" t="e">
        <f>IF(H676="credit",#REF!, (#REF!* -1))</f>
        <v>#REF!</v>
      </c>
      <c r="C676" s="497" t="e">
        <f t="shared" si="7"/>
        <v>#REF!</v>
      </c>
    </row>
    <row r="677" spans="2:3" ht="16" x14ac:dyDescent="0.2">
      <c r="B677" s="41" t="e">
        <f>IF(H677="credit",#REF!, (#REF!* -1))</f>
        <v>#REF!</v>
      </c>
      <c r="C677" s="497" t="e">
        <f t="shared" si="7"/>
        <v>#REF!</v>
      </c>
    </row>
    <row r="678" spans="2:3" ht="16" x14ac:dyDescent="0.2">
      <c r="B678" s="41" t="e">
        <f>IF(H678="credit",#REF!, (#REF!* -1))</f>
        <v>#REF!</v>
      </c>
      <c r="C678" s="497" t="e">
        <f t="shared" si="7"/>
        <v>#REF!</v>
      </c>
    </row>
    <row r="679" spans="2:3" ht="16" x14ac:dyDescent="0.2">
      <c r="B679" s="41" t="e">
        <f>IF(H679="credit",#REF!, (#REF!* -1))</f>
        <v>#REF!</v>
      </c>
      <c r="C679" s="497" t="e">
        <f t="shared" si="7"/>
        <v>#REF!</v>
      </c>
    </row>
    <row r="680" spans="2:3" ht="16" x14ac:dyDescent="0.2">
      <c r="B680" s="41" t="e">
        <f>IF(H680="credit",#REF!, (#REF!* -1))</f>
        <v>#REF!</v>
      </c>
      <c r="C680" s="497" t="e">
        <f t="shared" si="7"/>
        <v>#REF!</v>
      </c>
    </row>
    <row r="681" spans="2:3" ht="16" x14ac:dyDescent="0.2">
      <c r="B681" s="41" t="e">
        <f>IF(H681="credit",#REF!, (#REF!* -1))</f>
        <v>#REF!</v>
      </c>
      <c r="C681" s="497" t="e">
        <f t="shared" si="7"/>
        <v>#REF!</v>
      </c>
    </row>
    <row r="682" spans="2:3" ht="16" x14ac:dyDescent="0.2">
      <c r="B682" s="41" t="e">
        <f>IF(H682="credit",#REF!, (#REF!* -1))</f>
        <v>#REF!</v>
      </c>
      <c r="C682" s="497" t="e">
        <f t="shared" si="7"/>
        <v>#REF!</v>
      </c>
    </row>
    <row r="683" spans="2:3" ht="16" x14ac:dyDescent="0.2">
      <c r="B683" s="41" t="e">
        <f>IF(H683="credit",#REF!, (#REF!* -1))</f>
        <v>#REF!</v>
      </c>
      <c r="C683" s="497" t="e">
        <f t="shared" si="7"/>
        <v>#REF!</v>
      </c>
    </row>
    <row r="684" spans="2:3" ht="16" x14ac:dyDescent="0.2">
      <c r="B684" s="41" t="e">
        <f>IF(H684="credit",#REF!, (#REF!* -1))</f>
        <v>#REF!</v>
      </c>
      <c r="C684" s="497" t="e">
        <f t="shared" si="7"/>
        <v>#REF!</v>
      </c>
    </row>
    <row r="685" spans="2:3" ht="16" x14ac:dyDescent="0.2">
      <c r="B685" s="41" t="e">
        <f>IF(H685="credit",#REF!, (#REF!* -1))</f>
        <v>#REF!</v>
      </c>
      <c r="C685" s="497" t="e">
        <f t="shared" si="7"/>
        <v>#REF!</v>
      </c>
    </row>
    <row r="686" spans="2:3" ht="16" x14ac:dyDescent="0.2">
      <c r="B686" s="41" t="e">
        <f>IF(H686="credit",#REF!, (#REF!* -1))</f>
        <v>#REF!</v>
      </c>
      <c r="C686" s="497" t="e">
        <f t="shared" si="7"/>
        <v>#REF!</v>
      </c>
    </row>
    <row r="687" spans="2:3" ht="16" x14ac:dyDescent="0.2">
      <c r="B687" s="41" t="e">
        <f>IF(H687="credit",#REF!, (#REF!* -1))</f>
        <v>#REF!</v>
      </c>
      <c r="C687" s="497" t="e">
        <f t="shared" si="7"/>
        <v>#REF!</v>
      </c>
    </row>
    <row r="688" spans="2:3" ht="16" x14ac:dyDescent="0.2">
      <c r="B688" s="41" t="e">
        <f>IF(H688="credit",#REF!, (#REF!* -1))</f>
        <v>#REF!</v>
      </c>
      <c r="C688" s="497" t="e">
        <f t="shared" si="7"/>
        <v>#REF!</v>
      </c>
    </row>
    <row r="689" spans="2:3" ht="16" x14ac:dyDescent="0.2">
      <c r="B689" s="41" t="e">
        <f>IF(H689="credit",#REF!, (#REF!* -1))</f>
        <v>#REF!</v>
      </c>
      <c r="C689" s="497" t="e">
        <f t="shared" si="7"/>
        <v>#REF!</v>
      </c>
    </row>
    <row r="690" spans="2:3" ht="16" x14ac:dyDescent="0.2">
      <c r="B690" s="41" t="e">
        <f>IF(H690="credit",#REF!, (#REF!* -1))</f>
        <v>#REF!</v>
      </c>
      <c r="C690" s="497" t="e">
        <f t="shared" si="7"/>
        <v>#REF!</v>
      </c>
    </row>
    <row r="691" spans="2:3" ht="16" x14ac:dyDescent="0.2">
      <c r="B691" s="41" t="e">
        <f>IF(H691="credit",#REF!, (#REF!* -1))</f>
        <v>#REF!</v>
      </c>
      <c r="C691" s="497" t="e">
        <f t="shared" si="7"/>
        <v>#REF!</v>
      </c>
    </row>
    <row r="692" spans="2:3" ht="16" x14ac:dyDescent="0.2">
      <c r="B692" s="41" t="e">
        <f>IF(H692="credit",#REF!, (#REF!* -1))</f>
        <v>#REF!</v>
      </c>
      <c r="C692" s="497" t="e">
        <f t="shared" si="7"/>
        <v>#REF!</v>
      </c>
    </row>
    <row r="693" spans="2:3" ht="16" x14ac:dyDescent="0.2">
      <c r="B693" s="41" t="e">
        <f>IF(H693="credit",#REF!, (#REF!* -1))</f>
        <v>#REF!</v>
      </c>
      <c r="C693" s="497" t="e">
        <f t="shared" si="7"/>
        <v>#REF!</v>
      </c>
    </row>
    <row r="694" spans="2:3" ht="16" x14ac:dyDescent="0.2">
      <c r="B694" s="41" t="e">
        <f>IF(H694="credit",#REF!, (#REF!* -1))</f>
        <v>#REF!</v>
      </c>
      <c r="C694" s="497" t="e">
        <f t="shared" si="7"/>
        <v>#REF!</v>
      </c>
    </row>
    <row r="695" spans="2:3" ht="16" x14ac:dyDescent="0.2">
      <c r="B695" s="41" t="e">
        <f>IF(H695="credit",#REF!, (#REF!* -1))</f>
        <v>#REF!</v>
      </c>
      <c r="C695" s="497" t="e">
        <f t="shared" si="7"/>
        <v>#REF!</v>
      </c>
    </row>
    <row r="696" spans="2:3" ht="16" x14ac:dyDescent="0.2">
      <c r="B696" s="41" t="e">
        <f>IF(H696="credit",#REF!, (#REF!* -1))</f>
        <v>#REF!</v>
      </c>
      <c r="C696" s="497" t="e">
        <f t="shared" si="7"/>
        <v>#REF!</v>
      </c>
    </row>
    <row r="697" spans="2:3" ht="16" x14ac:dyDescent="0.2">
      <c r="B697" s="41" t="e">
        <f>IF(H697="credit",#REF!, (#REF!* -1))</f>
        <v>#REF!</v>
      </c>
      <c r="C697" s="497" t="e">
        <f t="shared" si="7"/>
        <v>#REF!</v>
      </c>
    </row>
    <row r="698" spans="2:3" ht="16" x14ac:dyDescent="0.2">
      <c r="B698" s="41" t="e">
        <f>IF(H698="credit",#REF!, (#REF!* -1))</f>
        <v>#REF!</v>
      </c>
      <c r="C698" s="497" t="e">
        <f t="shared" si="7"/>
        <v>#REF!</v>
      </c>
    </row>
    <row r="699" spans="2:3" ht="16" x14ac:dyDescent="0.2">
      <c r="B699" s="41" t="e">
        <f>IF(H699="credit",#REF!, (#REF!* -1))</f>
        <v>#REF!</v>
      </c>
      <c r="C699" s="497" t="e">
        <f t="shared" si="7"/>
        <v>#REF!</v>
      </c>
    </row>
    <row r="700" spans="2:3" ht="16" x14ac:dyDescent="0.2">
      <c r="B700" s="41" t="e">
        <f>IF(H700="credit",#REF!, (#REF!* -1))</f>
        <v>#REF!</v>
      </c>
      <c r="C700" s="497" t="e">
        <f t="shared" si="7"/>
        <v>#REF!</v>
      </c>
    </row>
    <row r="701" spans="2:3" ht="16" x14ac:dyDescent="0.2">
      <c r="B701" s="41" t="e">
        <f>IF(H701="credit",#REF!, (#REF!* -1))</f>
        <v>#REF!</v>
      </c>
      <c r="C701" s="497" t="e">
        <f t="shared" si="7"/>
        <v>#REF!</v>
      </c>
    </row>
    <row r="702" spans="2:3" ht="16" x14ac:dyDescent="0.2">
      <c r="B702" s="41" t="e">
        <f>IF(H702="credit",#REF!, (#REF!* -1))</f>
        <v>#REF!</v>
      </c>
      <c r="C702" s="497" t="e">
        <f t="shared" si="7"/>
        <v>#REF!</v>
      </c>
    </row>
    <row r="703" spans="2:3" ht="16" x14ac:dyDescent="0.2">
      <c r="B703" s="41" t="e">
        <f>IF(H703="credit",#REF!, (#REF!* -1))</f>
        <v>#REF!</v>
      </c>
      <c r="C703" s="497" t="e">
        <f t="shared" si="7"/>
        <v>#REF!</v>
      </c>
    </row>
    <row r="704" spans="2:3" ht="16" x14ac:dyDescent="0.2">
      <c r="B704" s="41" t="e">
        <f>IF(H704="credit",#REF!, (#REF!* -1))</f>
        <v>#REF!</v>
      </c>
      <c r="C704" s="497" t="e">
        <f t="shared" si="7"/>
        <v>#REF!</v>
      </c>
    </row>
    <row r="705" spans="2:3" ht="16" x14ac:dyDescent="0.2">
      <c r="B705" s="41" t="e">
        <f>IF(H705="credit",#REF!, (#REF!* -1))</f>
        <v>#REF!</v>
      </c>
      <c r="C705" s="497" t="e">
        <f t="shared" si="7"/>
        <v>#REF!</v>
      </c>
    </row>
    <row r="706" spans="2:3" ht="16" x14ac:dyDescent="0.2">
      <c r="B706" s="41" t="e">
        <f>IF(H706="credit",#REF!, (#REF!* -1))</f>
        <v>#REF!</v>
      </c>
      <c r="C706" s="497" t="e">
        <f t="shared" si="7"/>
        <v>#REF!</v>
      </c>
    </row>
    <row r="707" spans="2:3" ht="16" x14ac:dyDescent="0.2">
      <c r="B707" s="41" t="e">
        <f>IF(H707="credit",#REF!, (#REF!* -1))</f>
        <v>#REF!</v>
      </c>
      <c r="C707" s="497" t="e">
        <f t="shared" si="7"/>
        <v>#REF!</v>
      </c>
    </row>
    <row r="708" spans="2:3" ht="16" x14ac:dyDescent="0.2">
      <c r="B708" s="41" t="e">
        <f>IF(H708="credit",#REF!, (#REF!* -1))</f>
        <v>#REF!</v>
      </c>
      <c r="C708" s="497" t="e">
        <f t="shared" si="7"/>
        <v>#REF!</v>
      </c>
    </row>
    <row r="709" spans="2:3" ht="16" x14ac:dyDescent="0.2">
      <c r="B709" s="41" t="e">
        <f>IF(H709="credit",#REF!, (#REF!* -1))</f>
        <v>#REF!</v>
      </c>
      <c r="C709" s="497" t="e">
        <f t="shared" si="7"/>
        <v>#REF!</v>
      </c>
    </row>
    <row r="710" spans="2:3" ht="16" x14ac:dyDescent="0.2">
      <c r="B710" s="41" t="e">
        <f>IF(H710="credit",#REF!, (#REF!* -1))</f>
        <v>#REF!</v>
      </c>
      <c r="C710" s="497" t="e">
        <f t="shared" si="7"/>
        <v>#REF!</v>
      </c>
    </row>
    <row r="711" spans="2:3" ht="16" x14ac:dyDescent="0.2">
      <c r="B711" s="41" t="e">
        <f>IF(H711="credit",#REF!, (#REF!* -1))</f>
        <v>#REF!</v>
      </c>
      <c r="C711" s="497" t="e">
        <f t="shared" si="7"/>
        <v>#REF!</v>
      </c>
    </row>
    <row r="712" spans="2:3" ht="16" x14ac:dyDescent="0.2">
      <c r="B712" s="41" t="e">
        <f>IF(H712="credit",#REF!, (#REF!* -1))</f>
        <v>#REF!</v>
      </c>
      <c r="C712" s="497" t="e">
        <f t="shared" si="7"/>
        <v>#REF!</v>
      </c>
    </row>
    <row r="713" spans="2:3" ht="16" x14ac:dyDescent="0.2">
      <c r="B713" s="41" t="e">
        <f>IF(H713="credit",#REF!, (#REF!* -1))</f>
        <v>#REF!</v>
      </c>
      <c r="C713" s="497" t="e">
        <f t="shared" si="7"/>
        <v>#REF!</v>
      </c>
    </row>
    <row r="714" spans="2:3" ht="16" x14ac:dyDescent="0.2">
      <c r="B714" s="41" t="e">
        <f>IF(H714="credit",#REF!, (#REF!* -1))</f>
        <v>#REF!</v>
      </c>
      <c r="C714" s="497" t="e">
        <f t="shared" si="7"/>
        <v>#REF!</v>
      </c>
    </row>
    <row r="715" spans="2:3" ht="16" x14ac:dyDescent="0.2">
      <c r="B715" s="41" t="e">
        <f>IF(H715="credit",#REF!, (#REF!* -1))</f>
        <v>#REF!</v>
      </c>
      <c r="C715" s="497" t="e">
        <f t="shared" ref="C715:C778" si="8">C714+B715</f>
        <v>#REF!</v>
      </c>
    </row>
    <row r="716" spans="2:3" ht="16" x14ac:dyDescent="0.2">
      <c r="B716" s="41" t="e">
        <f>IF(H716="credit",#REF!, (#REF!* -1))</f>
        <v>#REF!</v>
      </c>
      <c r="C716" s="497" t="e">
        <f t="shared" si="8"/>
        <v>#REF!</v>
      </c>
    </row>
    <row r="717" spans="2:3" ht="16" x14ac:dyDescent="0.2">
      <c r="B717" s="41" t="e">
        <f>IF(H717="credit",#REF!, (#REF!* -1))</f>
        <v>#REF!</v>
      </c>
      <c r="C717" s="497" t="e">
        <f t="shared" si="8"/>
        <v>#REF!</v>
      </c>
    </row>
    <row r="718" spans="2:3" ht="16" x14ac:dyDescent="0.2">
      <c r="B718" s="41" t="e">
        <f>IF(H718="credit",#REF!, (#REF!* -1))</f>
        <v>#REF!</v>
      </c>
      <c r="C718" s="497" t="e">
        <f t="shared" si="8"/>
        <v>#REF!</v>
      </c>
    </row>
    <row r="719" spans="2:3" ht="16" x14ac:dyDescent="0.2">
      <c r="B719" s="41" t="e">
        <f>IF(H719="credit",#REF!, (#REF!* -1))</f>
        <v>#REF!</v>
      </c>
      <c r="C719" s="497" t="e">
        <f t="shared" si="8"/>
        <v>#REF!</v>
      </c>
    </row>
    <row r="720" spans="2:3" ht="16" x14ac:dyDescent="0.2">
      <c r="B720" s="41" t="e">
        <f>IF(H720="credit",#REF!, (#REF!* -1))</f>
        <v>#REF!</v>
      </c>
      <c r="C720" s="497" t="e">
        <f t="shared" si="8"/>
        <v>#REF!</v>
      </c>
    </row>
    <row r="721" spans="2:3" ht="16" x14ac:dyDescent="0.2">
      <c r="B721" s="41" t="e">
        <f>IF(H721="credit",#REF!, (#REF!* -1))</f>
        <v>#REF!</v>
      </c>
      <c r="C721" s="497" t="e">
        <f t="shared" si="8"/>
        <v>#REF!</v>
      </c>
    </row>
    <row r="722" spans="2:3" ht="16" x14ac:dyDescent="0.2">
      <c r="B722" s="41" t="e">
        <f>IF(H722="credit",#REF!, (#REF!* -1))</f>
        <v>#REF!</v>
      </c>
      <c r="C722" s="497" t="e">
        <f t="shared" si="8"/>
        <v>#REF!</v>
      </c>
    </row>
    <row r="723" spans="2:3" ht="16" x14ac:dyDescent="0.2">
      <c r="B723" s="41" t="e">
        <f>IF(H723="credit",#REF!, (#REF!* -1))</f>
        <v>#REF!</v>
      </c>
      <c r="C723" s="497" t="e">
        <f t="shared" si="8"/>
        <v>#REF!</v>
      </c>
    </row>
    <row r="724" spans="2:3" ht="16" x14ac:dyDescent="0.2">
      <c r="B724" s="41" t="e">
        <f>IF(H724="credit",#REF!, (#REF!* -1))</f>
        <v>#REF!</v>
      </c>
      <c r="C724" s="497" t="e">
        <f t="shared" si="8"/>
        <v>#REF!</v>
      </c>
    </row>
    <row r="725" spans="2:3" ht="16" x14ac:dyDescent="0.2">
      <c r="B725" s="41" t="e">
        <f>IF(H725="credit",#REF!, (#REF!* -1))</f>
        <v>#REF!</v>
      </c>
      <c r="C725" s="497" t="e">
        <f t="shared" si="8"/>
        <v>#REF!</v>
      </c>
    </row>
    <row r="726" spans="2:3" ht="16" x14ac:dyDescent="0.2">
      <c r="B726" s="41" t="e">
        <f>IF(H726="credit",#REF!, (#REF!* -1))</f>
        <v>#REF!</v>
      </c>
      <c r="C726" s="497" t="e">
        <f t="shared" si="8"/>
        <v>#REF!</v>
      </c>
    </row>
    <row r="727" spans="2:3" ht="16" x14ac:dyDescent="0.2">
      <c r="B727" s="41" t="e">
        <f>IF(H727="credit",#REF!, (#REF!* -1))</f>
        <v>#REF!</v>
      </c>
      <c r="C727" s="497" t="e">
        <f t="shared" si="8"/>
        <v>#REF!</v>
      </c>
    </row>
    <row r="728" spans="2:3" ht="16" x14ac:dyDescent="0.2">
      <c r="B728" s="41" t="e">
        <f>IF(H728="credit",#REF!, (#REF!* -1))</f>
        <v>#REF!</v>
      </c>
      <c r="C728" s="497" t="e">
        <f t="shared" si="8"/>
        <v>#REF!</v>
      </c>
    </row>
    <row r="729" spans="2:3" ht="16" x14ac:dyDescent="0.2">
      <c r="B729" s="41" t="e">
        <f>IF(H729="credit",#REF!, (#REF!* -1))</f>
        <v>#REF!</v>
      </c>
      <c r="C729" s="497" t="e">
        <f t="shared" si="8"/>
        <v>#REF!</v>
      </c>
    </row>
    <row r="730" spans="2:3" ht="16" x14ac:dyDescent="0.2">
      <c r="B730" s="41" t="e">
        <f>IF(H730="credit",#REF!, (#REF!* -1))</f>
        <v>#REF!</v>
      </c>
      <c r="C730" s="497" t="e">
        <f t="shared" si="8"/>
        <v>#REF!</v>
      </c>
    </row>
    <row r="731" spans="2:3" ht="16" x14ac:dyDescent="0.2">
      <c r="B731" s="41" t="e">
        <f>IF(H731="credit",#REF!, (#REF!* -1))</f>
        <v>#REF!</v>
      </c>
      <c r="C731" s="497" t="e">
        <f t="shared" si="8"/>
        <v>#REF!</v>
      </c>
    </row>
    <row r="732" spans="2:3" ht="16" x14ac:dyDescent="0.2">
      <c r="B732" s="41" t="e">
        <f>IF(H732="credit",#REF!, (#REF!* -1))</f>
        <v>#REF!</v>
      </c>
      <c r="C732" s="497" t="e">
        <f t="shared" si="8"/>
        <v>#REF!</v>
      </c>
    </row>
    <row r="733" spans="2:3" ht="16" x14ac:dyDescent="0.2">
      <c r="B733" s="41" t="e">
        <f>IF(H733="credit",#REF!, (#REF!* -1))</f>
        <v>#REF!</v>
      </c>
      <c r="C733" s="497" t="e">
        <f t="shared" si="8"/>
        <v>#REF!</v>
      </c>
    </row>
    <row r="734" spans="2:3" ht="16" x14ac:dyDescent="0.2">
      <c r="B734" s="41" t="e">
        <f>IF(H734="credit",#REF!, (#REF!* -1))</f>
        <v>#REF!</v>
      </c>
      <c r="C734" s="497" t="e">
        <f t="shared" si="8"/>
        <v>#REF!</v>
      </c>
    </row>
    <row r="735" spans="2:3" ht="16" x14ac:dyDescent="0.2">
      <c r="B735" s="41" t="e">
        <f>IF(H735="credit",#REF!, (#REF!* -1))</f>
        <v>#REF!</v>
      </c>
      <c r="C735" s="497" t="e">
        <f t="shared" si="8"/>
        <v>#REF!</v>
      </c>
    </row>
    <row r="736" spans="2:3" ht="16" x14ac:dyDescent="0.2">
      <c r="B736" s="41" t="e">
        <f>IF(H736="credit",#REF!, (#REF!* -1))</f>
        <v>#REF!</v>
      </c>
      <c r="C736" s="497" t="e">
        <f t="shared" si="8"/>
        <v>#REF!</v>
      </c>
    </row>
    <row r="737" spans="2:3" ht="16" x14ac:dyDescent="0.2">
      <c r="B737" s="41" t="e">
        <f>IF(H737="credit",#REF!, (#REF!* -1))</f>
        <v>#REF!</v>
      </c>
      <c r="C737" s="497" t="e">
        <f t="shared" si="8"/>
        <v>#REF!</v>
      </c>
    </row>
    <row r="738" spans="2:3" ht="16" x14ac:dyDescent="0.2">
      <c r="B738" s="41" t="e">
        <f>IF(H738="credit",#REF!, (#REF!* -1))</f>
        <v>#REF!</v>
      </c>
      <c r="C738" s="497" t="e">
        <f t="shared" si="8"/>
        <v>#REF!</v>
      </c>
    </row>
    <row r="739" spans="2:3" ht="16" x14ac:dyDescent="0.2">
      <c r="B739" s="41" t="e">
        <f>IF(H739="credit",#REF!, (#REF!* -1))</f>
        <v>#REF!</v>
      </c>
      <c r="C739" s="497" t="e">
        <f t="shared" si="8"/>
        <v>#REF!</v>
      </c>
    </row>
    <row r="740" spans="2:3" ht="16" x14ac:dyDescent="0.2">
      <c r="B740" s="41" t="e">
        <f>IF(H740="credit",#REF!, (#REF!* -1))</f>
        <v>#REF!</v>
      </c>
      <c r="C740" s="497" t="e">
        <f t="shared" si="8"/>
        <v>#REF!</v>
      </c>
    </row>
    <row r="741" spans="2:3" ht="16" x14ac:dyDescent="0.2">
      <c r="B741" s="41" t="e">
        <f>IF(H741="credit",#REF!, (#REF!* -1))</f>
        <v>#REF!</v>
      </c>
      <c r="C741" s="497" t="e">
        <f t="shared" si="8"/>
        <v>#REF!</v>
      </c>
    </row>
    <row r="742" spans="2:3" ht="16" x14ac:dyDescent="0.2">
      <c r="B742" s="41" t="e">
        <f>IF(H742="credit",#REF!, (#REF!* -1))</f>
        <v>#REF!</v>
      </c>
      <c r="C742" s="497" t="e">
        <f t="shared" si="8"/>
        <v>#REF!</v>
      </c>
    </row>
    <row r="743" spans="2:3" ht="16" x14ac:dyDescent="0.2">
      <c r="B743" s="41" t="e">
        <f>IF(H743="credit",#REF!, (#REF!* -1))</f>
        <v>#REF!</v>
      </c>
      <c r="C743" s="497" t="e">
        <f t="shared" si="8"/>
        <v>#REF!</v>
      </c>
    </row>
    <row r="744" spans="2:3" ht="16" x14ac:dyDescent="0.2">
      <c r="B744" s="41" t="e">
        <f>IF(H744="credit",#REF!, (#REF!* -1))</f>
        <v>#REF!</v>
      </c>
      <c r="C744" s="497" t="e">
        <f t="shared" si="8"/>
        <v>#REF!</v>
      </c>
    </row>
    <row r="745" spans="2:3" ht="16" x14ac:dyDescent="0.2">
      <c r="B745" s="41" t="e">
        <f>IF(H745="credit",#REF!, (#REF!* -1))</f>
        <v>#REF!</v>
      </c>
      <c r="C745" s="497" t="e">
        <f t="shared" si="8"/>
        <v>#REF!</v>
      </c>
    </row>
    <row r="746" spans="2:3" ht="16" x14ac:dyDescent="0.2">
      <c r="B746" s="41" t="e">
        <f>IF(H746="credit",#REF!, (#REF!* -1))</f>
        <v>#REF!</v>
      </c>
      <c r="C746" s="497" t="e">
        <f t="shared" si="8"/>
        <v>#REF!</v>
      </c>
    </row>
    <row r="747" spans="2:3" ht="16" x14ac:dyDescent="0.2">
      <c r="B747" s="41" t="e">
        <f>IF(H747="credit",#REF!, (#REF!* -1))</f>
        <v>#REF!</v>
      </c>
      <c r="C747" s="497" t="e">
        <f t="shared" si="8"/>
        <v>#REF!</v>
      </c>
    </row>
    <row r="748" spans="2:3" ht="16" x14ac:dyDescent="0.2">
      <c r="B748" s="41" t="e">
        <f>IF(H748="credit",#REF!, (#REF!* -1))</f>
        <v>#REF!</v>
      </c>
      <c r="C748" s="497" t="e">
        <f t="shared" si="8"/>
        <v>#REF!</v>
      </c>
    </row>
    <row r="749" spans="2:3" ht="16" x14ac:dyDescent="0.2">
      <c r="B749" s="41" t="e">
        <f>IF(H749="credit",#REF!, (#REF!* -1))</f>
        <v>#REF!</v>
      </c>
      <c r="C749" s="497" t="e">
        <f t="shared" si="8"/>
        <v>#REF!</v>
      </c>
    </row>
    <row r="750" spans="2:3" ht="16" x14ac:dyDescent="0.2">
      <c r="B750" s="41" t="e">
        <f>IF(H750="credit",#REF!, (#REF!* -1))</f>
        <v>#REF!</v>
      </c>
      <c r="C750" s="497" t="e">
        <f t="shared" si="8"/>
        <v>#REF!</v>
      </c>
    </row>
    <row r="751" spans="2:3" ht="16" x14ac:dyDescent="0.2">
      <c r="B751" s="41" t="e">
        <f>IF(H751="credit",#REF!, (#REF!* -1))</f>
        <v>#REF!</v>
      </c>
      <c r="C751" s="497" t="e">
        <f t="shared" si="8"/>
        <v>#REF!</v>
      </c>
    </row>
    <row r="752" spans="2:3" ht="16" x14ac:dyDescent="0.2">
      <c r="B752" s="41" t="e">
        <f>IF(H752="credit",#REF!, (#REF!* -1))</f>
        <v>#REF!</v>
      </c>
      <c r="C752" s="497" t="e">
        <f t="shared" si="8"/>
        <v>#REF!</v>
      </c>
    </row>
    <row r="753" spans="2:3" ht="16" x14ac:dyDescent="0.2">
      <c r="B753" s="41" t="e">
        <f>IF(H753="credit",#REF!, (#REF!* -1))</f>
        <v>#REF!</v>
      </c>
      <c r="C753" s="497" t="e">
        <f t="shared" si="8"/>
        <v>#REF!</v>
      </c>
    </row>
    <row r="754" spans="2:3" ht="16" x14ac:dyDescent="0.2">
      <c r="B754" s="41" t="e">
        <f>IF(H754="credit",#REF!, (#REF!* -1))</f>
        <v>#REF!</v>
      </c>
      <c r="C754" s="497" t="e">
        <f t="shared" si="8"/>
        <v>#REF!</v>
      </c>
    </row>
    <row r="755" spans="2:3" ht="16" x14ac:dyDescent="0.2">
      <c r="B755" s="41" t="e">
        <f>IF(H755="credit",#REF!, (#REF!* -1))</f>
        <v>#REF!</v>
      </c>
      <c r="C755" s="497" t="e">
        <f t="shared" si="8"/>
        <v>#REF!</v>
      </c>
    </row>
    <row r="756" spans="2:3" ht="16" x14ac:dyDescent="0.2">
      <c r="B756" s="41" t="e">
        <f>IF(H756="credit",#REF!, (#REF!* -1))</f>
        <v>#REF!</v>
      </c>
      <c r="C756" s="497" t="e">
        <f t="shared" si="8"/>
        <v>#REF!</v>
      </c>
    </row>
    <row r="757" spans="2:3" ht="16" x14ac:dyDescent="0.2">
      <c r="B757" s="41" t="e">
        <f>IF(H757="credit",#REF!, (#REF!* -1))</f>
        <v>#REF!</v>
      </c>
      <c r="C757" s="497" t="e">
        <f t="shared" si="8"/>
        <v>#REF!</v>
      </c>
    </row>
    <row r="758" spans="2:3" ht="16" x14ac:dyDescent="0.2">
      <c r="B758" s="41" t="e">
        <f>IF(H758="credit",#REF!, (#REF!* -1))</f>
        <v>#REF!</v>
      </c>
      <c r="C758" s="497" t="e">
        <f t="shared" si="8"/>
        <v>#REF!</v>
      </c>
    </row>
    <row r="759" spans="2:3" ht="16" x14ac:dyDescent="0.2">
      <c r="B759" s="41" t="e">
        <f>IF(H759="credit",#REF!, (#REF!* -1))</f>
        <v>#REF!</v>
      </c>
      <c r="C759" s="497" t="e">
        <f t="shared" si="8"/>
        <v>#REF!</v>
      </c>
    </row>
    <row r="760" spans="2:3" ht="16" x14ac:dyDescent="0.2">
      <c r="B760" s="41" t="e">
        <f>IF(H760="credit",#REF!, (#REF!* -1))</f>
        <v>#REF!</v>
      </c>
      <c r="C760" s="497" t="e">
        <f t="shared" si="8"/>
        <v>#REF!</v>
      </c>
    </row>
    <row r="761" spans="2:3" ht="16" x14ac:dyDescent="0.2">
      <c r="B761" s="41" t="e">
        <f>IF(H761="credit",#REF!, (#REF!* -1))</f>
        <v>#REF!</v>
      </c>
      <c r="C761" s="497" t="e">
        <f t="shared" si="8"/>
        <v>#REF!</v>
      </c>
    </row>
    <row r="762" spans="2:3" ht="16" x14ac:dyDescent="0.2">
      <c r="B762" s="41" t="e">
        <f>IF(H762="credit",#REF!, (#REF!* -1))</f>
        <v>#REF!</v>
      </c>
      <c r="C762" s="497" t="e">
        <f t="shared" si="8"/>
        <v>#REF!</v>
      </c>
    </row>
    <row r="763" spans="2:3" ht="16" x14ac:dyDescent="0.2">
      <c r="B763" s="41" t="e">
        <f>IF(H763="credit",#REF!, (#REF!* -1))</f>
        <v>#REF!</v>
      </c>
      <c r="C763" s="497" t="e">
        <f t="shared" si="8"/>
        <v>#REF!</v>
      </c>
    </row>
    <row r="764" spans="2:3" ht="16" x14ac:dyDescent="0.2">
      <c r="B764" s="41" t="e">
        <f>IF(H764="credit",#REF!, (#REF!* -1))</f>
        <v>#REF!</v>
      </c>
      <c r="C764" s="497" t="e">
        <f t="shared" si="8"/>
        <v>#REF!</v>
      </c>
    </row>
    <row r="765" spans="2:3" ht="16" x14ac:dyDescent="0.2">
      <c r="B765" s="41" t="e">
        <f>IF(H765="credit",#REF!, (#REF!* -1))</f>
        <v>#REF!</v>
      </c>
      <c r="C765" s="497" t="e">
        <f t="shared" si="8"/>
        <v>#REF!</v>
      </c>
    </row>
    <row r="766" spans="2:3" ht="16" x14ac:dyDescent="0.2">
      <c r="B766" s="41" t="e">
        <f>IF(H766="credit",#REF!, (#REF!* -1))</f>
        <v>#REF!</v>
      </c>
      <c r="C766" s="497" t="e">
        <f t="shared" si="8"/>
        <v>#REF!</v>
      </c>
    </row>
    <row r="767" spans="2:3" ht="16" x14ac:dyDescent="0.2">
      <c r="B767" s="41" t="e">
        <f>IF(H767="credit",#REF!, (#REF!* -1))</f>
        <v>#REF!</v>
      </c>
      <c r="C767" s="497" t="e">
        <f t="shared" si="8"/>
        <v>#REF!</v>
      </c>
    </row>
    <row r="768" spans="2:3" ht="16" x14ac:dyDescent="0.2">
      <c r="B768" s="41" t="e">
        <f>IF(H768="credit",#REF!, (#REF!* -1))</f>
        <v>#REF!</v>
      </c>
      <c r="C768" s="497" t="e">
        <f t="shared" si="8"/>
        <v>#REF!</v>
      </c>
    </row>
    <row r="769" spans="2:3" ht="16" x14ac:dyDescent="0.2">
      <c r="B769" s="41" t="e">
        <f>IF(H769="credit",#REF!, (#REF!* -1))</f>
        <v>#REF!</v>
      </c>
      <c r="C769" s="497" t="e">
        <f t="shared" si="8"/>
        <v>#REF!</v>
      </c>
    </row>
    <row r="770" spans="2:3" ht="16" x14ac:dyDescent="0.2">
      <c r="B770" s="41" t="e">
        <f>IF(H770="credit",#REF!, (#REF!* -1))</f>
        <v>#REF!</v>
      </c>
      <c r="C770" s="497" t="e">
        <f t="shared" si="8"/>
        <v>#REF!</v>
      </c>
    </row>
    <row r="771" spans="2:3" ht="16" x14ac:dyDescent="0.2">
      <c r="B771" s="41" t="e">
        <f>IF(H771="credit",#REF!, (#REF!* -1))</f>
        <v>#REF!</v>
      </c>
      <c r="C771" s="497" t="e">
        <f t="shared" si="8"/>
        <v>#REF!</v>
      </c>
    </row>
    <row r="772" spans="2:3" ht="16" x14ac:dyDescent="0.2">
      <c r="B772" s="41" t="e">
        <f>IF(H772="credit",#REF!, (#REF!* -1))</f>
        <v>#REF!</v>
      </c>
      <c r="C772" s="497" t="e">
        <f t="shared" si="8"/>
        <v>#REF!</v>
      </c>
    </row>
    <row r="773" spans="2:3" ht="16" x14ac:dyDescent="0.2">
      <c r="B773" s="41" t="e">
        <f>IF(H773="credit",#REF!, (#REF!* -1))</f>
        <v>#REF!</v>
      </c>
      <c r="C773" s="497" t="e">
        <f t="shared" si="8"/>
        <v>#REF!</v>
      </c>
    </row>
    <row r="774" spans="2:3" ht="16" x14ac:dyDescent="0.2">
      <c r="B774" s="41" t="e">
        <f>IF(H774="credit",#REF!, (#REF!* -1))</f>
        <v>#REF!</v>
      </c>
      <c r="C774" s="497" t="e">
        <f t="shared" si="8"/>
        <v>#REF!</v>
      </c>
    </row>
    <row r="775" spans="2:3" ht="16" x14ac:dyDescent="0.2">
      <c r="B775" s="41" t="e">
        <f>IF(H775="credit",#REF!, (#REF!* -1))</f>
        <v>#REF!</v>
      </c>
      <c r="C775" s="497" t="e">
        <f t="shared" si="8"/>
        <v>#REF!</v>
      </c>
    </row>
    <row r="776" spans="2:3" ht="16" x14ac:dyDescent="0.2">
      <c r="B776" s="41" t="e">
        <f>IF(H776="credit",#REF!, (#REF!* -1))</f>
        <v>#REF!</v>
      </c>
      <c r="C776" s="497" t="e">
        <f t="shared" si="8"/>
        <v>#REF!</v>
      </c>
    </row>
    <row r="777" spans="2:3" ht="16" x14ac:dyDescent="0.2">
      <c r="B777" s="41" t="e">
        <f>IF(H777="credit",#REF!, (#REF!* -1))</f>
        <v>#REF!</v>
      </c>
      <c r="C777" s="497" t="e">
        <f t="shared" si="8"/>
        <v>#REF!</v>
      </c>
    </row>
    <row r="778" spans="2:3" ht="16" x14ac:dyDescent="0.2">
      <c r="B778" s="41" t="e">
        <f>IF(H778="credit",#REF!, (#REF!* -1))</f>
        <v>#REF!</v>
      </c>
      <c r="C778" s="497" t="e">
        <f t="shared" si="8"/>
        <v>#REF!</v>
      </c>
    </row>
    <row r="779" spans="2:3" ht="16" x14ac:dyDescent="0.2">
      <c r="B779" s="41" t="e">
        <f>IF(H779="credit",#REF!, (#REF!* -1))</f>
        <v>#REF!</v>
      </c>
      <c r="C779" s="497" t="e">
        <f t="shared" ref="C779:C800" si="9">C778+B779</f>
        <v>#REF!</v>
      </c>
    </row>
    <row r="780" spans="2:3" ht="16" x14ac:dyDescent="0.2">
      <c r="B780" s="41" t="e">
        <f>IF(H780="credit",#REF!, (#REF!* -1))</f>
        <v>#REF!</v>
      </c>
      <c r="C780" s="497" t="e">
        <f t="shared" si="9"/>
        <v>#REF!</v>
      </c>
    </row>
    <row r="781" spans="2:3" ht="16" x14ac:dyDescent="0.2">
      <c r="B781" s="41" t="e">
        <f>IF(H781="credit",#REF!, (#REF!* -1))</f>
        <v>#REF!</v>
      </c>
      <c r="C781" s="497" t="e">
        <f t="shared" si="9"/>
        <v>#REF!</v>
      </c>
    </row>
    <row r="782" spans="2:3" ht="16" x14ac:dyDescent="0.2">
      <c r="B782" s="41" t="e">
        <f>IF(H782="credit",#REF!, (#REF!* -1))</f>
        <v>#REF!</v>
      </c>
      <c r="C782" s="497" t="e">
        <f t="shared" si="9"/>
        <v>#REF!</v>
      </c>
    </row>
    <row r="783" spans="2:3" ht="16" x14ac:dyDescent="0.2">
      <c r="B783" s="41" t="e">
        <f>IF(H783="credit",#REF!, (#REF!* -1))</f>
        <v>#REF!</v>
      </c>
      <c r="C783" s="497" t="e">
        <f t="shared" si="9"/>
        <v>#REF!</v>
      </c>
    </row>
    <row r="784" spans="2:3" ht="16" x14ac:dyDescent="0.2">
      <c r="B784" s="41" t="e">
        <f>IF(H784="credit",#REF!, (#REF!* -1))</f>
        <v>#REF!</v>
      </c>
      <c r="C784" s="497" t="e">
        <f t="shared" si="9"/>
        <v>#REF!</v>
      </c>
    </row>
    <row r="785" spans="2:3" ht="16" x14ac:dyDescent="0.2">
      <c r="B785" s="41" t="e">
        <f>IF(H785="credit",#REF!, (#REF!* -1))</f>
        <v>#REF!</v>
      </c>
      <c r="C785" s="497" t="e">
        <f t="shared" si="9"/>
        <v>#REF!</v>
      </c>
    </row>
    <row r="786" spans="2:3" ht="16" x14ac:dyDescent="0.2">
      <c r="B786" s="41" t="e">
        <f>IF(H786="credit",#REF!, (#REF!* -1))</f>
        <v>#REF!</v>
      </c>
      <c r="C786" s="497" t="e">
        <f t="shared" si="9"/>
        <v>#REF!</v>
      </c>
    </row>
    <row r="787" spans="2:3" ht="16" x14ac:dyDescent="0.2">
      <c r="B787" s="41" t="e">
        <f>IF(H787="credit",#REF!, (#REF!* -1))</f>
        <v>#REF!</v>
      </c>
      <c r="C787" s="497" t="e">
        <f t="shared" si="9"/>
        <v>#REF!</v>
      </c>
    </row>
    <row r="788" spans="2:3" ht="16" x14ac:dyDescent="0.2">
      <c r="B788" s="41" t="e">
        <f>IF(H788="credit",#REF!, (#REF!* -1))</f>
        <v>#REF!</v>
      </c>
      <c r="C788" s="497" t="e">
        <f t="shared" si="9"/>
        <v>#REF!</v>
      </c>
    </row>
    <row r="789" spans="2:3" ht="16" x14ac:dyDescent="0.2">
      <c r="B789" s="41" t="e">
        <f>IF(H789="credit",#REF!, (#REF!* -1))</f>
        <v>#REF!</v>
      </c>
      <c r="C789" s="497" t="e">
        <f t="shared" si="9"/>
        <v>#REF!</v>
      </c>
    </row>
    <row r="790" spans="2:3" ht="16" x14ac:dyDescent="0.2">
      <c r="B790" s="41" t="e">
        <f>IF(H790="credit",#REF!, (#REF!* -1))</f>
        <v>#REF!</v>
      </c>
      <c r="C790" s="497" t="e">
        <f t="shared" si="9"/>
        <v>#REF!</v>
      </c>
    </row>
    <row r="791" spans="2:3" ht="16" x14ac:dyDescent="0.2">
      <c r="B791" s="41" t="e">
        <f>IF(H791="credit",#REF!, (#REF!* -1))</f>
        <v>#REF!</v>
      </c>
      <c r="C791" s="497" t="e">
        <f t="shared" si="9"/>
        <v>#REF!</v>
      </c>
    </row>
    <row r="792" spans="2:3" ht="16" x14ac:dyDescent="0.2">
      <c r="B792" s="41" t="e">
        <f>IF(H792="credit",#REF!, (#REF!* -1))</f>
        <v>#REF!</v>
      </c>
      <c r="C792" s="497" t="e">
        <f t="shared" si="9"/>
        <v>#REF!</v>
      </c>
    </row>
    <row r="793" spans="2:3" ht="16" x14ac:dyDescent="0.2">
      <c r="B793" s="41" t="e">
        <f>IF(H793="credit",#REF!, (#REF!* -1))</f>
        <v>#REF!</v>
      </c>
      <c r="C793" s="497" t="e">
        <f t="shared" si="9"/>
        <v>#REF!</v>
      </c>
    </row>
    <row r="794" spans="2:3" ht="16" x14ac:dyDescent="0.2">
      <c r="B794" s="41" t="e">
        <f>IF(H794="credit",#REF!, (#REF!* -1))</f>
        <v>#REF!</v>
      </c>
      <c r="C794" s="497" t="e">
        <f t="shared" si="9"/>
        <v>#REF!</v>
      </c>
    </row>
    <row r="795" spans="2:3" ht="16" x14ac:dyDescent="0.2">
      <c r="B795" s="41" t="e">
        <f>IF(H795="credit",#REF!, (#REF!* -1))</f>
        <v>#REF!</v>
      </c>
      <c r="C795" s="497" t="e">
        <f t="shared" si="9"/>
        <v>#REF!</v>
      </c>
    </row>
    <row r="796" spans="2:3" ht="16" x14ac:dyDescent="0.2">
      <c r="B796" s="41" t="e">
        <f>IF(H796="credit",#REF!, (#REF!* -1))</f>
        <v>#REF!</v>
      </c>
      <c r="C796" s="497" t="e">
        <f t="shared" si="9"/>
        <v>#REF!</v>
      </c>
    </row>
    <row r="797" spans="2:3" ht="16" x14ac:dyDescent="0.2">
      <c r="B797" s="41" t="e">
        <f>IF(H797="credit",#REF!, (#REF!* -1))</f>
        <v>#REF!</v>
      </c>
      <c r="C797" s="497" t="e">
        <f t="shared" si="9"/>
        <v>#REF!</v>
      </c>
    </row>
    <row r="798" spans="2:3" ht="16" x14ac:dyDescent="0.2">
      <c r="B798" s="41" t="e">
        <f>IF(H798="credit",#REF!, (#REF!* -1))</f>
        <v>#REF!</v>
      </c>
      <c r="C798" s="497" t="e">
        <f t="shared" si="9"/>
        <v>#REF!</v>
      </c>
    </row>
    <row r="799" spans="2:3" ht="16" x14ac:dyDescent="0.2">
      <c r="B799" s="41" t="e">
        <f>IF(H799="credit",#REF!, (#REF!* -1))</f>
        <v>#REF!</v>
      </c>
      <c r="C799" s="497" t="e">
        <f t="shared" si="9"/>
        <v>#REF!</v>
      </c>
    </row>
    <row r="800" spans="2:3" ht="16" x14ac:dyDescent="0.2">
      <c r="B800" s="41" t="e">
        <f>IF(H800="credit",#REF!, (#REF!* -1))</f>
        <v>#REF!</v>
      </c>
      <c r="C800" s="497" t="e">
        <f t="shared" si="9"/>
        <v>#REF!</v>
      </c>
    </row>
  </sheetData>
  <autoFilter ref="A1:L436" xr:uid="{00000000-0009-0000-0000-000001000000}">
    <sortState xmlns:xlrd2="http://schemas.microsoft.com/office/spreadsheetml/2017/richdata2" ref="A2:L436">
      <sortCondition ref="D1:D436"/>
    </sortState>
  </autoFilter>
  <conditionalFormatting sqref="B1:C1 B3:B800 B801:C1048576">
    <cfRule type="cellIs" dxfId="118" priority="3" operator="lessThan">
      <formula>0</formula>
    </cfRule>
  </conditionalFormatting>
  <dataValidations count="1">
    <dataValidation type="list" allowBlank="1" showInputMessage="1" showErrorMessage="1" sqref="A553:A1048576" xr:uid="{7DF4ABAA-6554-42A6-AC15-A5426076B3C8}">
      <formula1>$A$6:$A$252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4982B1F-6F8F-4063-936B-9C5875CE0D71}">
          <x14:formula1>
            <xm:f>Kostensoorts!$A$10:$A$297</xm:f>
          </x14:formula1>
          <xm:sqref>A1</xm:sqref>
        </x14:dataValidation>
        <x14:dataValidation type="list" allowBlank="1" showInputMessage="1" showErrorMessage="1" xr:uid="{DF127425-6935-4DF6-B1CB-A13FF2F53C37}">
          <x14:formula1>
            <xm:f>Kostensoorts!$A$3:$A$1069</xm:f>
          </x14:formula1>
          <xm:sqref>A3:A8 A104:A105 A107:A109 A99:A102 A89:A90 A63 A84:A87 A79:A80 A77 A65 A61 A52:A56</xm:sqref>
        </x14:dataValidation>
        <x14:dataValidation type="list" allowBlank="1" showInputMessage="1" showErrorMessage="1" xr:uid="{C899D98F-CA7C-4111-9567-8466F949E99D}">
          <x14:formula1>
            <xm:f>Kostensoorts!$A$3:$A$336</xm:f>
          </x14:formula1>
          <xm:sqref>A106 A3 A103 A66:A76 A91:A98 A62 A64 A81:A83 A78 A110:A552 A88 A57:A60 A9:A51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E8"/>
  <sheetViews>
    <sheetView zoomScale="108" workbookViewId="0">
      <selection activeCell="A15" sqref="A15"/>
    </sheetView>
  </sheetViews>
  <sheetFormatPr baseColWidth="10" defaultColWidth="10.6640625" defaultRowHeight="15" x14ac:dyDescent="0.2"/>
  <cols>
    <col min="1" max="1" width="76.1640625" customWidth="1"/>
    <col min="2" max="2" width="65.1640625" customWidth="1"/>
    <col min="3" max="3" width="74.1640625" bestFit="1" customWidth="1"/>
    <col min="6" max="6" width="53.83203125" bestFit="1" customWidth="1"/>
  </cols>
  <sheetData>
    <row r="1" spans="1:5" ht="19" x14ac:dyDescent="0.2">
      <c r="A1" s="594" t="s">
        <v>7341</v>
      </c>
      <c r="B1" s="353"/>
      <c r="C1" s="353"/>
      <c r="E1" s="2"/>
    </row>
    <row r="2" spans="1:5" x14ac:dyDescent="0.2">
      <c r="A2" s="354" t="s">
        <v>7342</v>
      </c>
      <c r="B2" s="353"/>
      <c r="C2" s="353"/>
      <c r="E2" s="2"/>
    </row>
    <row r="3" spans="1:5" x14ac:dyDescent="0.2">
      <c r="A3" s="355" t="s">
        <v>7343</v>
      </c>
      <c r="B3" s="356"/>
      <c r="C3" s="353"/>
      <c r="E3" s="2"/>
    </row>
    <row r="4" spans="1:5" x14ac:dyDescent="0.2">
      <c r="A4" s="357" t="s">
        <v>7344</v>
      </c>
      <c r="B4" s="356"/>
      <c r="C4" s="353"/>
      <c r="E4" s="2"/>
    </row>
    <row r="5" spans="1:5" x14ac:dyDescent="0.2">
      <c r="A5" s="356"/>
      <c r="B5" s="356"/>
      <c r="C5" s="353"/>
      <c r="E5" s="2"/>
    </row>
    <row r="7" spans="1:5" ht="21" x14ac:dyDescent="0.25">
      <c r="A7" s="389" t="s">
        <v>7345</v>
      </c>
    </row>
    <row r="8" spans="1:5" ht="21" x14ac:dyDescent="0.25">
      <c r="A8" s="390" t="s">
        <v>7346</v>
      </c>
    </row>
  </sheetData>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27</vt:i4>
      </vt:variant>
    </vt:vector>
  </HeadingPairs>
  <TitlesOfParts>
    <vt:vector size="27" baseType="lpstr">
      <vt:lpstr>Welcome </vt:lpstr>
      <vt:lpstr>Cashbook Navigation</vt:lpstr>
      <vt:lpstr>Kostensoorts</vt:lpstr>
      <vt:lpstr>Cashbook Cash</vt:lpstr>
      <vt:lpstr>Cashbook ING</vt:lpstr>
      <vt:lpstr>Cashbook ING Baseline Savings</vt:lpstr>
      <vt:lpstr>Cashbook Wix</vt:lpstr>
      <vt:lpstr>Cashbook ING Lustrum Savings</vt:lpstr>
      <vt:lpstr>Budget Navigation</vt:lpstr>
      <vt:lpstr>Overview</vt:lpstr>
      <vt:lpstr>Board</vt:lpstr>
      <vt:lpstr>Memberships 24_25</vt:lpstr>
      <vt:lpstr>Academic</vt:lpstr>
      <vt:lpstr>Art</vt:lpstr>
      <vt:lpstr>Awareness</vt:lpstr>
      <vt:lpstr>Buddy</vt:lpstr>
      <vt:lpstr>Party</vt:lpstr>
      <vt:lpstr>Sports</vt:lpstr>
      <vt:lpstr>FMW</vt:lpstr>
      <vt:lpstr>TYW</vt:lpstr>
      <vt:lpstr>Yearbook</vt:lpstr>
      <vt:lpstr>AIM Week</vt:lpstr>
      <vt:lpstr>Intreeweek</vt:lpstr>
      <vt:lpstr>Amsterdam Unlocked</vt:lpstr>
      <vt:lpstr>AIM Club</vt:lpstr>
      <vt:lpstr>AIM Sports Teams</vt:lpstr>
      <vt:lpstr>Merchandise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Oskar Krafft</dc:creator>
  <cp:keywords/>
  <dc:description/>
  <cp:lastModifiedBy>Carla Gesell</cp:lastModifiedBy>
  <cp:revision/>
  <dcterms:created xsi:type="dcterms:W3CDTF">2015-06-05T18:19:34Z</dcterms:created>
  <dcterms:modified xsi:type="dcterms:W3CDTF">2025-10-23T10:18:26Z</dcterms:modified>
  <cp:category/>
  <cp:contentStatus/>
</cp:coreProperties>
</file>